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56" yWindow="792" windowWidth="9240" windowHeight="12072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Щорса 8Б" sheetId="6" r:id="rId6"/>
    <sheet name="Отчет о совместимости" sheetId="7" state="hidden" r:id="rId7"/>
  </sheets>
  <externalReferences>
    <externalReference r:id="rId10"/>
    <externalReference r:id="rId11"/>
  </externalReferences>
  <definedNames>
    <definedName name="_xlnm.Print_Titles" localSheetId="4">'ВСЕ раб'!$2:$5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Titles" localSheetId="5">'Щорса 8Б'!$2:$2</definedName>
    <definedName name="_xlnm.Print_Area" localSheetId="4">'ВСЕ раб'!$A$1:$J$33</definedName>
    <definedName name="_xlnm.Print_Area" localSheetId="3">'профраб'!$A$1:$J$43</definedName>
    <definedName name="_xlnm.Print_Area" localSheetId="1">'сан содерж'!$A$1:$K$61</definedName>
    <definedName name="_xlnm.Print_Area" localSheetId="5">'Щорса 8Б'!$A$1:$E$96</definedName>
  </definedNames>
  <calcPr fullCalcOnLoad="1"/>
</workbook>
</file>

<file path=xl/comments1.xml><?xml version="1.0" encoding="utf-8"?>
<comments xmlns="http://schemas.openxmlformats.org/spreadsheetml/2006/main">
  <authors>
    <author>Сириус</author>
  </authors>
  <commentList>
    <comment ref="D18" authorId="0">
      <text>
        <r>
          <rPr>
            <b/>
            <sz val="9"/>
            <rFont val="Tahoma"/>
            <family val="2"/>
          </rPr>
          <t>Сириус:</t>
        </r>
        <r>
          <rPr>
            <sz val="9"/>
            <rFont val="Tahoma"/>
            <family val="2"/>
          </rPr>
          <t xml:space="preserve">
вкл.оф.6-182,1
</t>
        </r>
      </text>
    </comment>
  </commentList>
</comments>
</file>

<file path=xl/sharedStrings.xml><?xml version="1.0" encoding="utf-8"?>
<sst xmlns="http://schemas.openxmlformats.org/spreadsheetml/2006/main" count="967" uniqueCount="587">
  <si>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</si>
  <si>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</si>
  <si>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</si>
  <si>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</si>
  <si>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</si>
  <si>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</si>
  <si>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</si>
  <si>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</si>
  <si>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</si>
  <si>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</si>
  <si>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</si>
  <si>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</si>
  <si>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</si>
  <si>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</si>
  <si>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</si>
  <si>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</si>
  <si>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</si>
  <si>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</si>
  <si>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</si>
  <si>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</si>
  <si>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</si>
  <si>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</si>
  <si>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</si>
  <si>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</si>
  <si>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</si>
  <si>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</si>
  <si>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</si>
  <si>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</si>
  <si>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</si>
  <si>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</si>
  <si>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</si>
  <si>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</si>
  <si>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</si>
  <si>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</si>
  <si>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</si>
  <si>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</si>
  <si>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</si>
  <si>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</si>
  <si>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</si>
  <si>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</si>
  <si>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</si>
  <si>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</si>
  <si>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</si>
  <si>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</si>
  <si>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</si>
  <si>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</si>
  <si>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</si>
  <si>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</si>
  <si>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</si>
  <si>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</si>
  <si>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</si>
  <si>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</si>
  <si>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</si>
  <si>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</si>
  <si>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</si>
  <si>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</si>
  <si>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</si>
  <si>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</si>
  <si>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</si>
  <si>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</si>
  <si>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</si>
  <si>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</si>
  <si>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</si>
  <si>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</si>
  <si>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</si>
  <si>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</si>
  <si>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</si>
  <si>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</si>
  <si>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</si>
  <si>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</si>
  <si>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</si>
  <si>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</si>
  <si>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</si>
  <si>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</si>
  <si>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</si>
  <si>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</si>
  <si>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</si>
  <si>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</si>
  <si>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</si>
  <si>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</si>
  <si>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</si>
  <si>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</si>
  <si>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</si>
  <si>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</si>
  <si>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</si>
  <si>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</si>
  <si>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</si>
  <si>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</si>
  <si>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</si>
  <si>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</si>
  <si>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</si>
  <si>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</si>
  <si>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</si>
  <si>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</si>
  <si>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</si>
  <si>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</si>
  <si>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</si>
  <si>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</si>
  <si>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</si>
  <si>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</si>
  <si>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</si>
  <si>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</si>
  <si>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</si>
  <si>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</si>
  <si>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</si>
  <si>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</si>
  <si>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</si>
  <si>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</si>
  <si>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</si>
  <si>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</si>
  <si>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</si>
  <si>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</si>
  <si>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</si>
  <si>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</si>
  <si>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</si>
  <si>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</si>
  <si>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</si>
  <si>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</si>
  <si>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</si>
  <si>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</si>
  <si>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</si>
  <si>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</si>
  <si>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</si>
  <si>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</si>
  <si>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</si>
  <si>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</si>
  <si>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</si>
  <si>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</si>
  <si>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</si>
  <si>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</si>
  <si>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</si>
  <si>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</si>
  <si>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</si>
  <si>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</si>
  <si>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</si>
  <si>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</si>
  <si>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</si>
  <si>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</si>
  <si>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</si>
  <si>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</si>
  <si>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</si>
  <si>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</si>
  <si>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</si>
  <si>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</si>
  <si>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</si>
  <si>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</si>
  <si>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</si>
  <si>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</si>
  <si>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</si>
  <si>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</si>
  <si>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</si>
  <si>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</si>
  <si>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</si>
  <si>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</si>
  <si>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</si>
  <si>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</si>
  <si>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</si>
  <si>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</si>
  <si>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</si>
  <si>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</si>
  <si>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</si>
  <si>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</si>
  <si>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</si>
  <si>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</si>
  <si>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</si>
  <si>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</si>
  <si>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</si>
  <si>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</si>
  <si>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</si>
  <si>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</si>
  <si>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</si>
  <si>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</si>
  <si>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</si>
  <si>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</si>
  <si>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</si>
  <si>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</si>
  <si>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</si>
  <si>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</si>
  <si>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</si>
  <si>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</si>
  <si>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</si>
  <si>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</si>
  <si>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</si>
  <si>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</si>
  <si>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</si>
  <si>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</si>
  <si>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</si>
  <si>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</si>
  <si>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</si>
  <si>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</si>
  <si>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</si>
  <si>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</si>
  <si>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</si>
  <si>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</si>
  <si>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</si>
  <si>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</si>
  <si>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</si>
  <si>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</si>
  <si>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</si>
  <si>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</si>
  <si>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</si>
  <si>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</si>
  <si>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</si>
  <si>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</si>
  <si>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</si>
  <si>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</si>
  <si>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</si>
  <si>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</si>
  <si>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</si>
  <si>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</si>
  <si>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</si>
  <si>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</si>
  <si>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</si>
  <si>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</si>
  <si>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</si>
  <si>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</si>
  <si>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</si>
  <si>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</si>
  <si>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</si>
  <si>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</si>
  <si>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</si>
  <si>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</si>
  <si>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</si>
  <si>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</si>
  <si>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</si>
  <si>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</si>
  <si>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</si>
  <si>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</si>
  <si>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</si>
  <si>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</si>
  <si>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</si>
  <si>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</si>
  <si>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</si>
  <si>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</si>
  <si>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</si>
  <si>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</si>
  <si>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</si>
  <si>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</si>
  <si>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</si>
  <si>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</si>
  <si>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</si>
  <si>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</si>
  <si>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</si>
  <si>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</si>
  <si>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</si>
  <si>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</si>
  <si>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</si>
  <si>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</si>
  <si>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</si>
  <si>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</si>
  <si>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</si>
  <si>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</si>
  <si>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</si>
  <si>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</si>
  <si>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</si>
  <si>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</si>
  <si>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</si>
  <si>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</si>
  <si>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</si>
  <si>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</si>
  <si>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</si>
  <si>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</si>
  <si>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</si>
  <si>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</si>
  <si>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</si>
  <si>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</si>
  <si>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</si>
  <si>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</si>
  <si>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</si>
  <si>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</si>
  <si>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</si>
  <si>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</si>
  <si>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</si>
  <si>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</si>
  <si>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</si>
  <si>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</si>
  <si>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</si>
  <si>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</si>
  <si>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</si>
  <si>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</si>
  <si>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</si>
  <si>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</si>
  <si>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</si>
  <si>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</si>
  <si>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</si>
  <si>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</si>
  <si>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</si>
  <si>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</si>
  <si>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</si>
  <si>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</si>
  <si>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</si>
  <si>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</si>
  <si>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</si>
  <si>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</si>
  <si>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</si>
  <si>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</si>
  <si>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</si>
  <si>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</si>
  <si>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</si>
  <si>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</si>
  <si>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</si>
  <si>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</si>
  <si>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</si>
  <si>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</si>
  <si>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</si>
  <si>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</si>
  <si>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</si>
  <si>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</si>
  <si>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</si>
  <si>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</si>
  <si>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</si>
  <si>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</si>
  <si>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</si>
  <si>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</si>
  <si>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</si>
  <si>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</si>
  <si>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</si>
  <si>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</si>
  <si>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</si>
  <si>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</si>
  <si>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</si>
  <si>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</si>
  <si>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</si>
  <si>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</si>
  <si>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</si>
  <si>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</si>
  <si>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</si>
  <si>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</si>
  <si>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</si>
  <si>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</si>
  <si>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</si>
  <si>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</si>
  <si>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</si>
  <si>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</si>
  <si>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</si>
  <si>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</si>
  <si>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</si>
  <si>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</si>
  <si>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</si>
  <si>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</si>
  <si>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</si>
  <si>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</si>
  <si>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</si>
  <si>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</si>
  <si>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</si>
  <si>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</si>
  <si>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</si>
  <si>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</si>
  <si>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</si>
  <si>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</si>
  <si>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</si>
  <si>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</si>
  <si>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</si>
  <si>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</si>
  <si>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</si>
  <si>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</si>
  <si>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</si>
  <si>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</si>
  <si>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</si>
  <si>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</si>
  <si>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</si>
  <si>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</si>
  <si>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</si>
  <si>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</si>
  <si>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</si>
  <si>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</si>
  <si>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</si>
  <si>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</si>
  <si>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</si>
  <si>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</si>
  <si>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</si>
  <si>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</si>
  <si>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</si>
  <si>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</si>
  <si>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</si>
  <si>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</si>
  <si>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</si>
  <si>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</si>
  <si>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</si>
  <si>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</si>
  <si>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</si>
  <si>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</si>
  <si>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</si>
  <si>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</si>
  <si>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</si>
  <si>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</si>
  <si>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</si>
  <si>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</si>
  <si>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</si>
  <si>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</si>
  <si>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</si>
  <si>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</si>
  <si>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</si>
  <si>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</si>
  <si>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</si>
  <si>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</si>
  <si>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</si>
  <si>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</si>
  <si>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</si>
  <si>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</si>
  <si>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</si>
  <si>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</si>
  <si>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</si>
  <si>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</si>
  <si>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</si>
  <si>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</si>
  <si>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</si>
  <si>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</si>
  <si>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</si>
  <si>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</si>
  <si>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</si>
  <si>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</si>
  <si>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</si>
  <si>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</si>
  <si>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</si>
  <si>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</si>
  <si>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</si>
  <si>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</si>
  <si>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</si>
  <si>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</si>
  <si>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</si>
  <si>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</si>
  <si>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</si>
  <si>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</si>
  <si>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</si>
  <si>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</si>
  <si>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</si>
  <si>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</si>
  <si>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</si>
  <si>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</si>
  <si>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</si>
  <si>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</si>
  <si>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</si>
  <si>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</si>
  <si>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</si>
  <si>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</si>
  <si>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</si>
  <si>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</si>
  <si>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</si>
  <si>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</si>
  <si>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</si>
  <si>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</si>
  <si>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</si>
  <si>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</si>
  <si>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</si>
  <si>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</si>
  <si>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</si>
  <si>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</si>
  <si>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</si>
  <si>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</si>
  <si>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</si>
  <si>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</si>
  <si>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</si>
  <si>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</si>
  <si>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</si>
  <si>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</si>
  <si>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</si>
  <si>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</si>
  <si>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</si>
  <si>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</si>
  <si>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</si>
  <si>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</si>
  <si>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</si>
  <si>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</si>
  <si>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</si>
  <si>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</si>
  <si>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</si>
  <si>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</si>
  <si>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</si>
  <si>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</si>
  <si>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</si>
  <si>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</si>
  <si>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</si>
  <si>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</si>
  <si>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</si>
  <si>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</si>
  <si>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</si>
  <si>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</si>
  <si>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</si>
  <si>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</si>
  <si>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</si>
  <si>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</si>
  <si>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</si>
  <si>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</si>
  <si>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</si>
  <si>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</si>
  <si>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</si>
  <si>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</si>
  <si>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</si>
  <si>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</si>
  <si>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</si>
  <si>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</si>
  <si>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</si>
  <si>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</si>
  <si>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</si>
  <si>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</si>
  <si>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</si>
  <si>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</si>
  <si>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</si>
  <si>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</si>
  <si>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</si>
  <si>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</si>
  <si>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</si>
  <si>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</si>
  <si>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</si>
  <si>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</si>
  <si>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</si>
  <si>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</si>
  <si>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</si>
  <si>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</si>
  <si>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</si>
  <si>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</si>
  <si>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</si>
  <si>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</si>
  <si>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</si>
  <si>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</si>
  <si>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</si>
  <si>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</si>
  <si>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</si>
  <si>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</si>
  <si>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</si>
  <si>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</si>
  <si>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</si>
  <si>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</si>
  <si>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</si>
  <si>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</si>
  <si>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</si>
  <si>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</si>
  <si>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</si>
  <si>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Исходные данные  дома по  ул. Щорса 8Б</t>
  </si>
  <si>
    <t>5.1</t>
  </si>
  <si>
    <t>5.3</t>
  </si>
  <si>
    <t>5.4</t>
  </si>
  <si>
    <t>Утверждаю</t>
  </si>
  <si>
    <t>Директор ООО УК "Сириус"</t>
  </si>
  <si>
    <t>Орлов Г.А.</t>
  </si>
  <si>
    <t>____________</t>
  </si>
  <si>
    <t>Отчет о совместимости для Щорса на 2011 год с формулами, С ОБЩЕЭКСПЛ.xls</t>
  </si>
  <si>
    <t>Дата отчета: 23.03.2012 10:58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</si>
  <si>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</si>
  <si>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</si>
  <si>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</si>
  <si>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</si>
  <si>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'Обязат'!B77</t>
  </si>
  <si>
    <t>1п-11ламп/17эт,2-п-7л/9эт/,3п-4л/9эт/,4п-4л/8 эт/</t>
  </si>
  <si>
    <t>Итого прочие затраты по санитарному одержанию</t>
  </si>
  <si>
    <t>Надбавка</t>
  </si>
  <si>
    <t>5.5</t>
  </si>
  <si>
    <t>Комиссия банка</t>
  </si>
  <si>
    <t>1.8.</t>
  </si>
  <si>
    <t>Мытье пола кабины лифта</t>
  </si>
  <si>
    <t>ежедневно</t>
  </si>
  <si>
    <t xml:space="preserve">Влажная протирка стен, дверей, плафонов и потолков кабины лифта. </t>
  </si>
  <si>
    <t>1.7.</t>
  </si>
  <si>
    <t>Затраты на содержание общедомовых приборов учета</t>
  </si>
  <si>
    <t>5.6</t>
  </si>
  <si>
    <t>Экономическое обоснование ООО УК "Сириус"платы на содержание жилья
 и прилегающей территории на  2015 г.</t>
  </si>
  <si>
    <t>Плитка тротуарная</t>
  </si>
  <si>
    <t>тротуарная плитка</t>
  </si>
  <si>
    <t>Примечание: Гр.8 рассчитывается: з/п рабочего со всеми надбавками / кол-во часов (164,25) * норму времени (челчас) по приказу  139 * % страховых взносов</t>
  </si>
  <si>
    <t>Сводная таблица " Содержание жилого помещения многоквартирного дома по видам работ"</t>
  </si>
  <si>
    <t>Площадь ж/помещ кв.м.</t>
  </si>
  <si>
    <t>Итого цена содержания ж/помещ руб/кв.м.</t>
  </si>
  <si>
    <t>исход дан</t>
  </si>
  <si>
    <t>Внеэксплуатационные расходы</t>
  </si>
  <si>
    <t>Услуги по управлению МКД (управление, диспетчеризация, юридическое сопровождение, эконом. обоснования, расчетно-бухгалтер. обслуживание)</t>
  </si>
  <si>
    <t>Работы по уборке лестничных клеток</t>
  </si>
  <si>
    <t>Влажное подметание лестничных площадок и маршей  1 и 2 этажей</t>
  </si>
  <si>
    <t>Влажное подметание лестничных площадок и маршей  выше 2 этажа</t>
  </si>
  <si>
    <t>1 раза в месяц</t>
  </si>
  <si>
    <t>1.9.</t>
  </si>
  <si>
    <t>1.10.</t>
  </si>
  <si>
    <t>4.5.1</t>
  </si>
  <si>
    <t>4.5.2</t>
  </si>
  <si>
    <t>4.5.3</t>
  </si>
  <si>
    <t>Общие и частичные осмотры системы цетрального отопления в технических помещениях в неотопительный период</t>
  </si>
  <si>
    <t>4.5.4</t>
  </si>
  <si>
    <t>4.5.5</t>
  </si>
  <si>
    <t>4.5.6</t>
  </si>
  <si>
    <t>4.5.7</t>
  </si>
  <si>
    <t>4.5.8</t>
  </si>
  <si>
    <t>4.5.9</t>
  </si>
  <si>
    <t>4.6.7.</t>
  </si>
  <si>
    <t>Дополнительные работы</t>
  </si>
  <si>
    <t>4.6.8</t>
  </si>
  <si>
    <t>По договору</t>
  </si>
  <si>
    <t>Перечень работ и услуг по содержанию и текущему ремонту  общего имущества многоквартирного дома по адресу: ул. Щорса, 8Б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</si>
</sst>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</numFmts>
  <fonts count="7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9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1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5" borderId="5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1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53" xfId="0" applyFont="1" applyBorder="1" applyAlignment="1">
      <alignment horizontal="center" wrapText="1"/>
    </xf>
    <xf numFmtId="2" fontId="2" fillId="0" borderId="54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55" xfId="0" applyFont="1" applyFill="1" applyBorder="1" applyAlignment="1">
      <alignment horizontal="center" wrapText="1"/>
    </xf>
    <xf numFmtId="170" fontId="0" fillId="0" borderId="55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6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1" xfId="0" applyFont="1" applyFill="1" applyBorder="1" applyAlignment="1">
      <alignment wrapText="1"/>
    </xf>
    <xf numFmtId="168" fontId="2" fillId="36" borderId="53" xfId="0" applyNumberFormat="1" applyFont="1" applyFill="1" applyBorder="1" applyAlignment="1">
      <alignment horizontal="center" wrapText="1"/>
    </xf>
    <xf numFmtId="0" fontId="2" fillId="0" borderId="51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57" xfId="0" applyFont="1" applyFill="1" applyBorder="1" applyAlignment="1">
      <alignment horizontal="center"/>
    </xf>
    <xf numFmtId="0" fontId="11" fillId="36" borderId="58" xfId="0" applyFont="1" applyFill="1" applyBorder="1" applyAlignment="1">
      <alignment horizontal="center"/>
    </xf>
    <xf numFmtId="0" fontId="19" fillId="36" borderId="59" xfId="0" applyFont="1" applyFill="1" applyBorder="1" applyAlignment="1">
      <alignment horizontal="center"/>
    </xf>
    <xf numFmtId="2" fontId="11" fillId="36" borderId="57" xfId="0" applyNumberFormat="1" applyFont="1" applyFill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5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0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58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0" fillId="0" borderId="62" xfId="0" applyNumberFormat="1" applyFont="1" applyBorder="1" applyAlignment="1">
      <alignment horizontal="center" wrapText="1"/>
    </xf>
    <xf numFmtId="0" fontId="0" fillId="0" borderId="63" xfId="0" applyBorder="1" applyAlignment="1">
      <alignment wrapText="1"/>
    </xf>
    <xf numFmtId="0" fontId="0" fillId="0" borderId="63" xfId="0" applyBorder="1" applyAlignment="1">
      <alignment horizontal="center" wrapText="1"/>
    </xf>
    <xf numFmtId="0" fontId="2" fillId="35" borderId="64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4" fillId="35" borderId="49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5" xfId="0" applyFont="1" applyBorder="1" applyAlignment="1">
      <alignment horizontal="center" wrapText="1"/>
    </xf>
    <xf numFmtId="169" fontId="13" fillId="0" borderId="49" xfId="0" applyNumberFormat="1" applyFont="1" applyFill="1" applyBorder="1" applyAlignment="1">
      <alignment horizontal="center" wrapText="1"/>
    </xf>
    <xf numFmtId="2" fontId="13" fillId="0" borderId="49" xfId="0" applyNumberFormat="1" applyFont="1" applyFill="1" applyBorder="1" applyAlignment="1">
      <alignment horizontal="center" wrapText="1"/>
    </xf>
    <xf numFmtId="0" fontId="14" fillId="35" borderId="66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4" fontId="2" fillId="35" borderId="54" xfId="0" applyNumberFormat="1" applyFont="1" applyFill="1" applyBorder="1" applyAlignment="1">
      <alignment horizontal="center" wrapText="1"/>
    </xf>
    <xf numFmtId="2" fontId="0" fillId="0" borderId="54" xfId="0" applyNumberFormat="1" applyFont="1" applyBorder="1" applyAlignment="1">
      <alignment horizontal="center"/>
    </xf>
    <xf numFmtId="0" fontId="13" fillId="0" borderId="5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4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6" xfId="0" applyFont="1" applyFill="1" applyBorder="1" applyAlignment="1">
      <alignment horizontal="center" wrapText="1"/>
    </xf>
    <xf numFmtId="0" fontId="13" fillId="0" borderId="74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4" fontId="22" fillId="35" borderId="39" xfId="0" applyNumberFormat="1" applyFont="1" applyFill="1" applyBorder="1" applyAlignment="1">
      <alignment horizontal="center" wrapText="1"/>
    </xf>
    <xf numFmtId="4" fontId="22" fillId="35" borderId="17" xfId="0" applyNumberFormat="1" applyFont="1" applyFill="1" applyBorder="1" applyAlignment="1">
      <alignment horizontal="center" wrapText="1"/>
    </xf>
    <xf numFmtId="4" fontId="22" fillId="35" borderId="41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4" fontId="24" fillId="35" borderId="39" xfId="0" applyNumberFormat="1" applyFont="1" applyFill="1" applyBorder="1" applyAlignment="1">
      <alignment horizontal="center" wrapText="1"/>
    </xf>
    <xf numFmtId="4" fontId="24" fillId="35" borderId="17" xfId="0" applyNumberFormat="1" applyFont="1" applyFill="1" applyBorder="1" applyAlignment="1">
      <alignment horizontal="center" wrapText="1"/>
    </xf>
    <xf numFmtId="4" fontId="24" fillId="35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68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67" xfId="0" applyNumberFormat="1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168" fontId="0" fillId="0" borderId="75" xfId="0" applyNumberFormat="1" applyFont="1" applyBorder="1" applyAlignment="1">
      <alignment horizontal="center" wrapText="1"/>
    </xf>
    <xf numFmtId="4" fontId="0" fillId="0" borderId="67" xfId="0" applyNumberFormat="1" applyFont="1" applyBorder="1" applyAlignment="1">
      <alignment horizontal="center" wrapText="1"/>
    </xf>
    <xf numFmtId="4" fontId="0" fillId="0" borderId="54" xfId="0" applyNumberFormat="1" applyFont="1" applyBorder="1" applyAlignment="1">
      <alignment horizontal="center" wrapText="1"/>
    </xf>
    <xf numFmtId="2" fontId="0" fillId="0" borderId="75" xfId="0" applyNumberFormat="1" applyFont="1" applyBorder="1" applyAlignment="1">
      <alignment horizontal="center" wrapText="1"/>
    </xf>
    <xf numFmtId="2" fontId="2" fillId="35" borderId="53" xfId="0" applyNumberFormat="1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75" xfId="0" applyNumberFormat="1" applyFont="1" applyBorder="1" applyAlignment="1">
      <alignment horizontal="center"/>
    </xf>
    <xf numFmtId="4" fontId="0" fillId="0" borderId="54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" fontId="2" fillId="35" borderId="53" xfId="0" applyNumberFormat="1" applyFont="1" applyFill="1" applyBorder="1" applyAlignment="1">
      <alignment horizontal="center" wrapText="1"/>
    </xf>
    <xf numFmtId="0" fontId="2" fillId="36" borderId="54" xfId="0" applyFont="1" applyFill="1" applyBorder="1" applyAlignment="1">
      <alignment horizontal="center" wrapText="1"/>
    </xf>
    <xf numFmtId="4" fontId="2" fillId="35" borderId="53" xfId="0" applyNumberFormat="1" applyFont="1" applyFill="1" applyBorder="1" applyAlignment="1">
      <alignment horizontal="center"/>
    </xf>
    <xf numFmtId="2" fontId="0" fillId="0" borderId="67" xfId="0" applyNumberFormat="1" applyFont="1" applyBorder="1" applyAlignment="1">
      <alignment horizontal="center" wrapText="1"/>
    </xf>
    <xf numFmtId="4" fontId="2" fillId="35" borderId="68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0" fontId="14" fillId="0" borderId="65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49" xfId="0" applyNumberFormat="1" applyFont="1" applyBorder="1" applyAlignment="1">
      <alignment horizontal="center" wrapText="1"/>
    </xf>
    <xf numFmtId="169" fontId="13" fillId="0" borderId="49" xfId="0" applyNumberFormat="1" applyFont="1" applyBorder="1" applyAlignment="1">
      <alignment horizontal="center" wrapText="1"/>
    </xf>
    <xf numFmtId="2" fontId="13" fillId="0" borderId="49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49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0" fontId="13" fillId="0" borderId="5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4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 horizontal="center" wrapText="1"/>
    </xf>
    <xf numFmtId="168" fontId="34" fillId="0" borderId="10" xfId="0" applyNumberFormat="1" applyFont="1" applyFill="1" applyBorder="1" applyAlignment="1">
      <alignment horizontal="center" wrapText="1"/>
    </xf>
    <xf numFmtId="2" fontId="34" fillId="0" borderId="22" xfId="0" applyNumberFormat="1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6" xfId="0" applyNumberFormat="1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16" fillId="0" borderId="81" xfId="42" applyNumberFormat="1" applyBorder="1" applyAlignment="1" applyProtection="1">
      <alignment horizontal="center" vertical="top" wrapText="1"/>
      <protection/>
    </xf>
    <xf numFmtId="0" fontId="0" fillId="0" borderId="16" xfId="0" applyNumberFormat="1" applyBorder="1" applyAlignment="1">
      <alignment horizontal="center" wrapText="1"/>
    </xf>
    <xf numFmtId="0" fontId="13" fillId="0" borderId="49" xfId="0" applyNumberFormat="1" applyFon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" fontId="21" fillId="0" borderId="82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8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32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8" fontId="34" fillId="0" borderId="0" xfId="0" applyNumberFormat="1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35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top" wrapText="1"/>
    </xf>
    <xf numFmtId="2" fontId="21" fillId="0" borderId="42" xfId="0" applyNumberFormat="1" applyFont="1" applyFill="1" applyBorder="1" applyAlignment="1">
      <alignment horizontal="center" wrapText="1"/>
    </xf>
    <xf numFmtId="4" fontId="21" fillId="0" borderId="42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4" fontId="21" fillId="0" borderId="42" xfId="0" applyNumberFormat="1" applyFont="1" applyBorder="1" applyAlignment="1">
      <alignment horizontal="center" wrapText="1"/>
    </xf>
    <xf numFmtId="4" fontId="32" fillId="0" borderId="36" xfId="0" applyNumberFormat="1" applyFont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4" fontId="31" fillId="0" borderId="13" xfId="0" applyNumberFormat="1" applyFont="1" applyFill="1" applyBorder="1" applyAlignment="1">
      <alignment horizontal="center" wrapText="1"/>
    </xf>
    <xf numFmtId="4" fontId="35" fillId="35" borderId="17" xfId="0" applyNumberFormat="1" applyFont="1" applyFill="1" applyBorder="1" applyAlignment="1">
      <alignment horizontal="center" wrapText="1"/>
    </xf>
    <xf numFmtId="0" fontId="22" fillId="35" borderId="41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wrapText="1"/>
    </xf>
    <xf numFmtId="4" fontId="29" fillId="0" borderId="37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3" fontId="21" fillId="0" borderId="42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2" fontId="21" fillId="0" borderId="29" xfId="0" applyNumberFormat="1" applyFont="1" applyFill="1" applyBorder="1" applyAlignment="1">
      <alignment horizontal="center" wrapText="1"/>
    </xf>
    <xf numFmtId="0" fontId="22" fillId="0" borderId="28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13" fillId="0" borderId="55" xfId="0" applyFont="1" applyFill="1" applyBorder="1" applyAlignment="1">
      <alignment horizontal="center" wrapText="1"/>
    </xf>
    <xf numFmtId="0" fontId="13" fillId="0" borderId="83" xfId="0" applyFont="1" applyFill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2" fontId="13" fillId="38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0" fillId="0" borderId="84" xfId="0" applyNumberFormat="1" applyFon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82" xfId="0" applyNumberFormat="1" applyFont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1" fontId="22" fillId="0" borderId="31" xfId="0" applyNumberFormat="1" applyFont="1" applyFill="1" applyBorder="1" applyAlignment="1">
      <alignment horizontal="center" wrapText="1"/>
    </xf>
    <xf numFmtId="4" fontId="22" fillId="0" borderId="29" xfId="0" applyNumberFormat="1" applyFont="1" applyFill="1" applyBorder="1" applyAlignment="1">
      <alignment horizontal="center"/>
    </xf>
    <xf numFmtId="4" fontId="29" fillId="0" borderId="87" xfId="0" applyNumberFormat="1" applyFont="1" applyFill="1" applyBorder="1" applyAlignment="1">
      <alignment horizontal="center"/>
    </xf>
    <xf numFmtId="4" fontId="31" fillId="0" borderId="88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wrapText="1"/>
    </xf>
    <xf numFmtId="2" fontId="21" fillId="0" borderId="55" xfId="0" applyNumberFormat="1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2" fontId="21" fillId="0" borderId="83" xfId="0" applyNumberFormat="1" applyFont="1" applyFill="1" applyBorder="1" applyAlignment="1">
      <alignment horizontal="center" wrapText="1"/>
    </xf>
    <xf numFmtId="49" fontId="0" fillId="39" borderId="20" xfId="0" applyNumberFormat="1" applyFont="1" applyFill="1" applyBorder="1" applyAlignment="1">
      <alignment horizontal="center" wrapText="1"/>
    </xf>
    <xf numFmtId="0" fontId="22" fillId="39" borderId="17" xfId="0" applyFont="1" applyFill="1" applyBorder="1" applyAlignment="1">
      <alignment wrapText="1"/>
    </xf>
    <xf numFmtId="0" fontId="22" fillId="39" borderId="17" xfId="0" applyFont="1" applyFill="1" applyBorder="1" applyAlignment="1">
      <alignment horizontal="center" wrapText="1"/>
    </xf>
    <xf numFmtId="0" fontId="22" fillId="39" borderId="41" xfId="0" applyFont="1" applyFill="1" applyBorder="1" applyAlignment="1">
      <alignment horizontal="center" wrapText="1"/>
    </xf>
    <xf numFmtId="4" fontId="24" fillId="39" borderId="44" xfId="0" applyNumberFormat="1" applyFont="1" applyFill="1" applyBorder="1" applyAlignment="1">
      <alignment horizontal="center" wrapText="1"/>
    </xf>
    <xf numFmtId="4" fontId="22" fillId="39" borderId="39" xfId="0" applyNumberFormat="1" applyFont="1" applyFill="1" applyBorder="1" applyAlignment="1">
      <alignment horizontal="center" wrapText="1"/>
    </xf>
    <xf numFmtId="2" fontId="22" fillId="39" borderId="50" xfId="0" applyNumberFormat="1" applyFont="1" applyFill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2" fontId="21" fillId="0" borderId="56" xfId="0" applyNumberFormat="1" applyFont="1" applyFill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37" xfId="0" applyFont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 wrapText="1"/>
    </xf>
    <xf numFmtId="0" fontId="32" fillId="0" borderId="4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0" fontId="30" fillId="39" borderId="39" xfId="0" applyFont="1" applyFill="1" applyBorder="1" applyAlignment="1">
      <alignment wrapText="1"/>
    </xf>
    <xf numFmtId="3" fontId="24" fillId="39" borderId="44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2" fillId="0" borderId="27" xfId="0" applyFont="1" applyFill="1" applyBorder="1" applyAlignment="1">
      <alignment wrapText="1"/>
    </xf>
    <xf numFmtId="0" fontId="29" fillId="0" borderId="35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9" fontId="32" fillId="0" borderId="11" xfId="0" applyNumberFormat="1" applyFont="1" applyFill="1" applyBorder="1" applyAlignment="1">
      <alignment horizontal="center" wrapText="1"/>
    </xf>
    <xf numFmtId="0" fontId="35" fillId="13" borderId="17" xfId="0" applyFont="1" applyFill="1" applyBorder="1" applyAlignment="1">
      <alignment wrapText="1"/>
    </xf>
    <xf numFmtId="0" fontId="22" fillId="13" borderId="17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4" fontId="24" fillId="13" borderId="44" xfId="0" applyNumberFormat="1" applyFont="1" applyFill="1" applyBorder="1" applyAlignment="1">
      <alignment horizontal="center"/>
    </xf>
    <xf numFmtId="4" fontId="22" fillId="32" borderId="39" xfId="0" applyNumberFormat="1" applyFont="1" applyFill="1" applyBorder="1" applyAlignment="1">
      <alignment horizontal="center"/>
    </xf>
    <xf numFmtId="4" fontId="22" fillId="32" borderId="17" xfId="0" applyNumberFormat="1" applyFont="1" applyFill="1" applyBorder="1" applyAlignment="1">
      <alignment horizontal="center"/>
    </xf>
    <xf numFmtId="4" fontId="22" fillId="32" borderId="41" xfId="0" applyNumberFormat="1" applyFont="1" applyFill="1" applyBorder="1" applyAlignment="1">
      <alignment horizontal="center"/>
    </xf>
    <xf numFmtId="2" fontId="21" fillId="0" borderId="82" xfId="0" applyNumberFormat="1" applyFont="1" applyFill="1" applyBorder="1" applyAlignment="1">
      <alignment horizontal="center" wrapText="1"/>
    </xf>
    <xf numFmtId="44" fontId="24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2" fontId="22" fillId="39" borderId="17" xfId="0" applyNumberFormat="1" applyFont="1" applyFill="1" applyBorder="1" applyAlignment="1">
      <alignment horizontal="center" wrapText="1"/>
    </xf>
    <xf numFmtId="4" fontId="32" fillId="0" borderId="37" xfId="0" applyNumberFormat="1" applyFont="1" applyBorder="1" applyAlignment="1">
      <alignment horizontal="center" wrapText="1"/>
    </xf>
    <xf numFmtId="49" fontId="2" fillId="39" borderId="20" xfId="0" applyNumberFormat="1" applyFont="1" applyFill="1" applyBorder="1" applyAlignment="1">
      <alignment horizontal="center" wrapText="1"/>
    </xf>
    <xf numFmtId="49" fontId="2" fillId="13" borderId="20" xfId="0" applyNumberFormat="1" applyFont="1" applyFill="1" applyBorder="1" applyAlignment="1">
      <alignment horizontal="center" wrapText="1"/>
    </xf>
    <xf numFmtId="2" fontId="22" fillId="13" borderId="44" xfId="0" applyNumberFormat="1" applyFont="1" applyFill="1" applyBorder="1" applyAlignment="1">
      <alignment horizontal="center" wrapText="1"/>
    </xf>
    <xf numFmtId="4" fontId="22" fillId="13" borderId="39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4" fontId="21" fillId="0" borderId="82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top" wrapText="1"/>
    </xf>
    <xf numFmtId="49" fontId="22" fillId="0" borderId="84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88" xfId="0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5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2" fontId="21" fillId="0" borderId="55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2" fontId="25" fillId="0" borderId="55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0" fontId="27" fillId="0" borderId="55" xfId="0" applyFont="1" applyFill="1" applyBorder="1" applyAlignment="1">
      <alignment horizontal="center" vertical="top" wrapText="1"/>
    </xf>
    <xf numFmtId="0" fontId="21" fillId="0" borderId="55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68" fontId="25" fillId="0" borderId="55" xfId="0" applyNumberFormat="1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49" fontId="21" fillId="0" borderId="20" xfId="0" applyNumberFormat="1" applyFont="1" applyFill="1" applyBorder="1" applyAlignment="1">
      <alignment horizontal="center" vertical="top" wrapText="1"/>
    </xf>
    <xf numFmtId="0" fontId="35" fillId="0" borderId="39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center" vertical="top" wrapText="1"/>
    </xf>
    <xf numFmtId="2" fontId="23" fillId="0" borderId="5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170" fontId="2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>
      <alignment horizontal="center" vertical="top" wrapText="1"/>
    </xf>
    <xf numFmtId="170" fontId="23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88" xfId="0" applyFont="1" applyFill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87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55" xfId="0" applyFont="1" applyFill="1" applyBorder="1" applyAlignment="1">
      <alignment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21" fillId="0" borderId="55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8;&#1072;&#1078;&#1076;&#1072;&#1085;&#1089;&#1082;&#1080;&#1081;%2018%20&#1085;&#1072;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 дан"/>
      <sheetName val="сан содерж"/>
      <sheetName val="спец инв"/>
      <sheetName val="профраб"/>
      <sheetName val="ВСЕ раб"/>
      <sheetName val="Обязат"/>
    </sheetNames>
    <sheetDataSet>
      <sheetData sheetId="1">
        <row r="54">
          <cell r="G54">
            <v>0</v>
          </cell>
        </row>
      </sheetData>
      <sheetData sheetId="3">
        <row r="11">
          <cell r="I11">
            <v>0</v>
          </cell>
        </row>
        <row r="12">
          <cell r="I12">
            <v>0</v>
          </cell>
        </row>
      </sheetData>
      <sheetData sheetId="4"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1">
      <selection activeCell="F8" sqref="F8"/>
    </sheetView>
  </sheetViews>
  <sheetFormatPr defaultColWidth="9.00390625" defaultRowHeight="12.75"/>
  <cols>
    <col min="1" max="1" width="6.875" style="0" customWidth="1"/>
    <col min="2" max="2" width="60.50390625" style="0" customWidth="1"/>
    <col min="3" max="3" width="12.875" style="0" customWidth="1"/>
    <col min="4" max="4" width="14.50390625" style="3" customWidth="1"/>
    <col min="6" max="6" width="16.50390625" style="0" customWidth="1"/>
  </cols>
  <sheetData>
    <row r="1" spans="3:4" ht="12.75">
      <c r="C1" s="5" t="s">
        <v>533</v>
      </c>
      <c r="D1" s="26"/>
    </row>
    <row r="2" spans="3:4" ht="12.75">
      <c r="C2" s="5" t="s">
        <v>534</v>
      </c>
      <c r="D2" s="26"/>
    </row>
    <row r="3" spans="3:4" ht="12.75">
      <c r="C3" s="5"/>
      <c r="D3" s="26"/>
    </row>
    <row r="4" spans="3:4" ht="12.75">
      <c r="C4" s="5" t="s">
        <v>536</v>
      </c>
      <c r="D4" s="26" t="s">
        <v>535</v>
      </c>
    </row>
    <row r="5" spans="1:5" ht="36.75" customHeight="1">
      <c r="A5" s="903" t="s">
        <v>556</v>
      </c>
      <c r="B5" s="904"/>
      <c r="C5" s="904"/>
      <c r="D5" s="904"/>
      <c r="E5" s="1"/>
    </row>
    <row r="6" spans="2:5" ht="7.5" customHeight="1">
      <c r="B6" s="657"/>
      <c r="C6" s="1"/>
      <c r="D6" s="1"/>
      <c r="E6" s="1"/>
    </row>
    <row r="7" spans="2:4" s="27" customFormat="1" ht="16.5" thickBot="1">
      <c r="B7" s="27" t="s">
        <v>529</v>
      </c>
      <c r="C7" s="326"/>
      <c r="D7" s="327"/>
    </row>
    <row r="8" spans="1:7" s="2" customFormat="1" ht="29.25" customHeight="1" thickBot="1">
      <c r="A8" s="414"/>
      <c r="B8" s="504" t="s">
        <v>0</v>
      </c>
      <c r="C8" s="505" t="s">
        <v>153</v>
      </c>
      <c r="D8" s="506" t="s">
        <v>508</v>
      </c>
      <c r="E8"/>
      <c r="F8"/>
      <c r="G8"/>
    </row>
    <row r="9" spans="1:7" s="240" customFormat="1" ht="15" customHeight="1" thickBot="1">
      <c r="A9" s="290" t="s">
        <v>88</v>
      </c>
      <c r="B9" s="293" t="s">
        <v>188</v>
      </c>
      <c r="C9" s="290" t="s">
        <v>89</v>
      </c>
      <c r="D9" s="509" t="s">
        <v>73</v>
      </c>
      <c r="E9"/>
      <c r="F9"/>
      <c r="G9"/>
    </row>
    <row r="10" spans="1:7" s="236" customFormat="1" ht="15" customHeight="1">
      <c r="A10" s="121" t="s">
        <v>188</v>
      </c>
      <c r="B10" s="507" t="s">
        <v>302</v>
      </c>
      <c r="C10" s="508" t="s">
        <v>170</v>
      </c>
      <c r="D10" s="523">
        <v>137</v>
      </c>
      <c r="E10"/>
      <c r="F10"/>
      <c r="G10"/>
    </row>
    <row r="11" spans="1:7" s="236" customFormat="1" ht="15" customHeight="1">
      <c r="A11" s="118" t="s">
        <v>89</v>
      </c>
      <c r="B11" s="238" t="s">
        <v>183</v>
      </c>
      <c r="C11" s="368" t="s">
        <v>170</v>
      </c>
      <c r="D11" s="756">
        <v>137</v>
      </c>
      <c r="E11"/>
      <c r="F11"/>
      <c r="G11"/>
    </row>
    <row r="12" spans="1:7" s="236" customFormat="1" ht="15" customHeight="1" thickBot="1">
      <c r="A12" s="246" t="s">
        <v>73</v>
      </c>
      <c r="B12" s="333" t="s">
        <v>184</v>
      </c>
      <c r="C12" s="369" t="s">
        <v>326</v>
      </c>
      <c r="D12" s="757">
        <v>151</v>
      </c>
      <c r="E12"/>
      <c r="F12"/>
      <c r="G12"/>
    </row>
    <row r="13" spans="1:7" s="4" customFormat="1" ht="27.75" customHeight="1" thickBot="1">
      <c r="A13" s="334" t="s">
        <v>74</v>
      </c>
      <c r="B13" s="297" t="s">
        <v>440</v>
      </c>
      <c r="C13" s="302" t="s">
        <v>314</v>
      </c>
      <c r="D13" s="652">
        <f>D14+D15+D16</f>
        <v>17264.45</v>
      </c>
      <c r="E13" s="5"/>
      <c r="F13" s="5"/>
      <c r="G13" s="5"/>
    </row>
    <row r="14" spans="1:7" s="337" customFormat="1" ht="15" customHeight="1">
      <c r="A14" s="121" t="s">
        <v>75</v>
      </c>
      <c r="B14" s="335" t="s">
        <v>66</v>
      </c>
      <c r="C14" s="336" t="s">
        <v>314</v>
      </c>
      <c r="D14" s="523">
        <f>250.7+113.1+47.4+49.9</f>
        <v>461.0999999999999</v>
      </c>
      <c r="E14" s="113"/>
      <c r="F14" s="113"/>
      <c r="G14" s="113"/>
    </row>
    <row r="15" spans="1:7" s="337" customFormat="1" ht="15" customHeight="1" thickBot="1">
      <c r="A15" s="413" t="s">
        <v>76</v>
      </c>
      <c r="B15" s="412" t="s">
        <v>439</v>
      </c>
      <c r="C15" s="336" t="s">
        <v>314</v>
      </c>
      <c r="D15" s="524">
        <f>1266.5+336.7+307.7+311.9</f>
        <v>2222.8</v>
      </c>
      <c r="E15" s="113"/>
      <c r="F15" s="113"/>
      <c r="G15" s="113"/>
    </row>
    <row r="16" spans="1:7" s="237" customFormat="1" ht="27.75" customHeight="1" thickBot="1">
      <c r="A16" s="334" t="s">
        <v>77</v>
      </c>
      <c r="B16" s="297" t="s">
        <v>441</v>
      </c>
      <c r="C16" s="298" t="s">
        <v>314</v>
      </c>
      <c r="D16" s="296">
        <f>D17+D18</f>
        <v>14580.550000000001</v>
      </c>
      <c r="E16"/>
      <c r="F16"/>
      <c r="G16"/>
    </row>
    <row r="17" spans="1:7" s="1" customFormat="1" ht="15" customHeight="1">
      <c r="A17" s="121"/>
      <c r="B17" s="120" t="s">
        <v>396</v>
      </c>
      <c r="C17" s="18" t="s">
        <v>314</v>
      </c>
      <c r="D17" s="338">
        <v>11251.95</v>
      </c>
      <c r="E17"/>
      <c r="F17"/>
      <c r="G17"/>
    </row>
    <row r="18" spans="1:7" s="1" customFormat="1" ht="15" customHeight="1">
      <c r="A18" s="121"/>
      <c r="B18" s="120" t="s">
        <v>397</v>
      </c>
      <c r="C18" s="18" t="s">
        <v>314</v>
      </c>
      <c r="D18" s="338">
        <v>3328.6</v>
      </c>
      <c r="E18"/>
      <c r="F18"/>
      <c r="G18"/>
    </row>
    <row r="19" spans="1:7" s="1" customFormat="1" ht="15" customHeight="1">
      <c r="A19" s="121" t="s">
        <v>78</v>
      </c>
      <c r="B19" s="120" t="s">
        <v>64</v>
      </c>
      <c r="C19" s="18" t="s">
        <v>314</v>
      </c>
      <c r="D19" s="338">
        <v>2488.9</v>
      </c>
      <c r="E19"/>
      <c r="F19"/>
      <c r="G19"/>
    </row>
    <row r="20" spans="1:7" s="1" customFormat="1" ht="15" customHeight="1">
      <c r="A20" s="118" t="s">
        <v>79</v>
      </c>
      <c r="B20" s="8" t="s">
        <v>307</v>
      </c>
      <c r="C20" s="7" t="s">
        <v>314</v>
      </c>
      <c r="D20" s="331">
        <v>1260.7</v>
      </c>
      <c r="E20"/>
      <c r="F20"/>
      <c r="G20"/>
    </row>
    <row r="21" spans="1:7" s="1" customFormat="1" ht="15" customHeight="1">
      <c r="A21" s="118" t="s">
        <v>80</v>
      </c>
      <c r="B21" s="8" t="s">
        <v>306</v>
      </c>
      <c r="C21" s="7" t="s">
        <v>314</v>
      </c>
      <c r="D21" s="331">
        <v>2523.8</v>
      </c>
      <c r="E21"/>
      <c r="F21"/>
      <c r="G21"/>
    </row>
    <row r="22" spans="1:7" s="1" customFormat="1" ht="15" customHeight="1">
      <c r="A22" s="118" t="s">
        <v>81</v>
      </c>
      <c r="B22" s="8" t="s">
        <v>65</v>
      </c>
      <c r="C22" s="7" t="s">
        <v>314</v>
      </c>
      <c r="D22" s="331">
        <v>1859</v>
      </c>
      <c r="E22"/>
      <c r="F22"/>
      <c r="G22"/>
    </row>
    <row r="23" spans="1:7" s="1" customFormat="1" ht="15" customHeight="1">
      <c r="A23" s="118" t="s">
        <v>82</v>
      </c>
      <c r="B23" s="8" t="s">
        <v>514</v>
      </c>
      <c r="C23" s="7" t="s">
        <v>515</v>
      </c>
      <c r="D23" s="331">
        <v>86421</v>
      </c>
      <c r="E23"/>
      <c r="F23"/>
      <c r="G23"/>
    </row>
    <row r="24" spans="1:7" s="1" customFormat="1" ht="15" customHeight="1">
      <c r="A24" s="118" t="s">
        <v>156</v>
      </c>
      <c r="B24" s="8" t="s">
        <v>356</v>
      </c>
      <c r="C24" s="7" t="s">
        <v>357</v>
      </c>
      <c r="D24" s="331">
        <v>114</v>
      </c>
      <c r="E24"/>
      <c r="F24"/>
      <c r="G24"/>
    </row>
    <row r="25" spans="1:7" s="1" customFormat="1" ht="15" customHeight="1">
      <c r="A25" s="118" t="s">
        <v>83</v>
      </c>
      <c r="B25" s="8" t="s">
        <v>359</v>
      </c>
      <c r="C25" s="7" t="s">
        <v>358</v>
      </c>
      <c r="D25" s="331"/>
      <c r="E25"/>
      <c r="F25"/>
      <c r="G25"/>
    </row>
    <row r="26" spans="1:7" s="1" customFormat="1" ht="27.75" customHeight="1">
      <c r="A26" s="118" t="s">
        <v>157</v>
      </c>
      <c r="B26" s="8" t="s">
        <v>360</v>
      </c>
      <c r="C26" s="7" t="s">
        <v>358</v>
      </c>
      <c r="D26" s="331">
        <v>1020</v>
      </c>
      <c r="E26"/>
      <c r="F26"/>
      <c r="G26"/>
    </row>
    <row r="27" spans="1:7" s="1" customFormat="1" ht="15" customHeight="1">
      <c r="A27" s="118" t="s">
        <v>158</v>
      </c>
      <c r="B27" s="8" t="s">
        <v>361</v>
      </c>
      <c r="C27" s="7" t="s">
        <v>358</v>
      </c>
      <c r="D27" s="331">
        <v>702</v>
      </c>
      <c r="E27"/>
      <c r="F27"/>
      <c r="G27"/>
    </row>
    <row r="28" spans="1:7" s="1" customFormat="1" ht="15" customHeight="1">
      <c r="A28" s="118" t="s">
        <v>159</v>
      </c>
      <c r="B28" s="8" t="s">
        <v>364</v>
      </c>
      <c r="C28" s="7" t="s">
        <v>358</v>
      </c>
      <c r="D28" s="331">
        <v>1764</v>
      </c>
      <c r="E28"/>
      <c r="F28"/>
      <c r="G28"/>
    </row>
    <row r="29" spans="1:7" s="1" customFormat="1" ht="27.75" customHeight="1">
      <c r="A29" s="118" t="s">
        <v>90</v>
      </c>
      <c r="B29" s="8" t="s">
        <v>365</v>
      </c>
      <c r="C29" s="7" t="s">
        <v>170</v>
      </c>
      <c r="D29" s="331">
        <v>115</v>
      </c>
      <c r="E29"/>
      <c r="F29"/>
      <c r="G29"/>
    </row>
    <row r="30" spans="1:7" s="1" customFormat="1" ht="15" customHeight="1">
      <c r="A30" s="118" t="s">
        <v>91</v>
      </c>
      <c r="B30" s="8" t="s">
        <v>366</v>
      </c>
      <c r="C30" s="7" t="s">
        <v>170</v>
      </c>
      <c r="D30" s="331">
        <v>40</v>
      </c>
      <c r="E30"/>
      <c r="F30"/>
      <c r="G30"/>
    </row>
    <row r="31" spans="1:7" s="1" customFormat="1" ht="15" customHeight="1">
      <c r="A31" s="118" t="s">
        <v>92</v>
      </c>
      <c r="B31" s="8" t="s">
        <v>362</v>
      </c>
      <c r="C31" s="7" t="s">
        <v>363</v>
      </c>
      <c r="D31" s="331">
        <v>228</v>
      </c>
      <c r="E31"/>
      <c r="F31"/>
      <c r="G31"/>
    </row>
    <row r="32" spans="1:7" s="1" customFormat="1" ht="15" customHeight="1">
      <c r="A32" s="118" t="s">
        <v>93</v>
      </c>
      <c r="B32" s="8" t="s">
        <v>367</v>
      </c>
      <c r="C32" s="7" t="s">
        <v>363</v>
      </c>
      <c r="D32" s="331">
        <v>151</v>
      </c>
      <c r="E32"/>
      <c r="F32"/>
      <c r="G32"/>
    </row>
    <row r="33" spans="1:7" s="1" customFormat="1" ht="15" customHeight="1">
      <c r="A33" s="118" t="s">
        <v>94</v>
      </c>
      <c r="B33" s="8" t="s">
        <v>368</v>
      </c>
      <c r="C33" s="7" t="s">
        <v>363</v>
      </c>
      <c r="D33" s="331">
        <v>6</v>
      </c>
      <c r="E33"/>
      <c r="F33"/>
      <c r="G33"/>
    </row>
    <row r="34" spans="1:7" s="1" customFormat="1" ht="15" customHeight="1">
      <c r="A34" s="118" t="s">
        <v>95</v>
      </c>
      <c r="B34" s="8" t="s">
        <v>185</v>
      </c>
      <c r="C34" s="7" t="s">
        <v>170</v>
      </c>
      <c r="D34" s="331">
        <v>302</v>
      </c>
      <c r="E34"/>
      <c r="F34"/>
      <c r="G34"/>
    </row>
    <row r="35" spans="1:7" s="1" customFormat="1" ht="15" customHeight="1">
      <c r="A35" s="118" t="s">
        <v>96</v>
      </c>
      <c r="B35" s="8" t="s">
        <v>186</v>
      </c>
      <c r="C35" s="7" t="s">
        <v>170</v>
      </c>
      <c r="D35" s="331">
        <v>0</v>
      </c>
      <c r="E35"/>
      <c r="F35"/>
      <c r="G35"/>
    </row>
    <row r="36" spans="1:7" s="1" customFormat="1" ht="27" customHeight="1">
      <c r="A36" s="118" t="s">
        <v>97</v>
      </c>
      <c r="B36" s="8" t="s">
        <v>345</v>
      </c>
      <c r="C36" s="7" t="s">
        <v>325</v>
      </c>
      <c r="D36" s="331"/>
      <c r="E36"/>
      <c r="F36"/>
      <c r="G36"/>
    </row>
    <row r="37" spans="1:7" s="1" customFormat="1" ht="27" customHeight="1">
      <c r="A37" s="118" t="s">
        <v>160</v>
      </c>
      <c r="B37" s="8" t="s">
        <v>528</v>
      </c>
      <c r="C37" s="7" t="s">
        <v>325</v>
      </c>
      <c r="D37" s="332"/>
      <c r="E37"/>
      <c r="F37"/>
      <c r="G37"/>
    </row>
    <row r="38" spans="1:7" s="1" customFormat="1" ht="15" customHeight="1">
      <c r="A38" s="118" t="s">
        <v>161</v>
      </c>
      <c r="B38" s="8" t="s">
        <v>303</v>
      </c>
      <c r="C38" s="7" t="s">
        <v>170</v>
      </c>
      <c r="D38" s="331">
        <v>4</v>
      </c>
      <c r="E38"/>
      <c r="F38"/>
      <c r="G38"/>
    </row>
    <row r="39" spans="1:7" s="1" customFormat="1" ht="15" customHeight="1">
      <c r="A39" s="118" t="s">
        <v>349</v>
      </c>
      <c r="B39" s="8" t="s">
        <v>304</v>
      </c>
      <c r="C39" s="7" t="s">
        <v>170</v>
      </c>
      <c r="D39" s="331">
        <v>17</v>
      </c>
      <c r="E39"/>
      <c r="F39"/>
      <c r="G39"/>
    </row>
    <row r="40" spans="1:7" s="1" customFormat="1" ht="15" customHeight="1">
      <c r="A40" s="118" t="s">
        <v>350</v>
      </c>
      <c r="B40" s="8" t="s">
        <v>443</v>
      </c>
      <c r="C40" s="7" t="s">
        <v>314</v>
      </c>
      <c r="D40" s="331"/>
      <c r="E40"/>
      <c r="F40"/>
      <c r="G40"/>
    </row>
    <row r="41" spans="1:7" s="1" customFormat="1" ht="15" customHeight="1">
      <c r="A41" s="118" t="s">
        <v>162</v>
      </c>
      <c r="B41" s="8" t="s">
        <v>444</v>
      </c>
      <c r="C41" s="7" t="s">
        <v>314</v>
      </c>
      <c r="D41" s="331">
        <v>2791</v>
      </c>
      <c r="E41"/>
      <c r="F41"/>
      <c r="G41"/>
    </row>
    <row r="42" spans="1:7" s="1" customFormat="1" ht="15" customHeight="1">
      <c r="A42" s="118" t="s">
        <v>98</v>
      </c>
      <c r="B42" s="8" t="s">
        <v>557</v>
      </c>
      <c r="C42" s="7" t="s">
        <v>314</v>
      </c>
      <c r="D42" s="331">
        <v>1895</v>
      </c>
      <c r="E42"/>
      <c r="F42"/>
      <c r="G42"/>
    </row>
    <row r="43" spans="1:7" s="1" customFormat="1" ht="15" customHeight="1">
      <c r="A43" s="118" t="s">
        <v>99</v>
      </c>
      <c r="B43" s="8" t="s">
        <v>445</v>
      </c>
      <c r="C43" s="7" t="s">
        <v>314</v>
      </c>
      <c r="D43" s="331"/>
      <c r="E43"/>
      <c r="F43"/>
      <c r="G43"/>
    </row>
    <row r="44" spans="1:7" s="1" customFormat="1" ht="15" customHeight="1">
      <c r="A44" s="118" t="s">
        <v>100</v>
      </c>
      <c r="B44" s="8" t="s">
        <v>446</v>
      </c>
      <c r="C44" s="7" t="s">
        <v>314</v>
      </c>
      <c r="D44" s="331"/>
      <c r="E44"/>
      <c r="F44"/>
      <c r="G44"/>
    </row>
    <row r="45" spans="1:7" s="1" customFormat="1" ht="15" customHeight="1">
      <c r="A45" s="118" t="s">
        <v>101</v>
      </c>
      <c r="B45" s="8" t="s">
        <v>447</v>
      </c>
      <c r="C45" s="7" t="s">
        <v>314</v>
      </c>
      <c r="D45" s="331"/>
      <c r="E45"/>
      <c r="F45"/>
      <c r="G45"/>
    </row>
    <row r="46" spans="1:7" s="1" customFormat="1" ht="15" customHeight="1">
      <c r="A46" s="118" t="s">
        <v>102</v>
      </c>
      <c r="B46" s="8" t="s">
        <v>442</v>
      </c>
      <c r="C46" s="7" t="s">
        <v>314</v>
      </c>
      <c r="D46" s="331">
        <v>3208.2</v>
      </c>
      <c r="E46"/>
      <c r="F46"/>
      <c r="G46"/>
    </row>
    <row r="47" spans="1:7" s="1" customFormat="1" ht="15" customHeight="1">
      <c r="A47" s="118" t="s">
        <v>103</v>
      </c>
      <c r="B47" s="9" t="s">
        <v>369</v>
      </c>
      <c r="C47" s="7"/>
      <c r="D47" s="331"/>
      <c r="E47"/>
      <c r="F47"/>
      <c r="G47"/>
    </row>
    <row r="48" spans="1:7" s="1" customFormat="1" ht="15" customHeight="1">
      <c r="A48" s="118" t="s">
        <v>104</v>
      </c>
      <c r="B48" s="8" t="s">
        <v>370</v>
      </c>
      <c r="C48" s="7" t="s">
        <v>314</v>
      </c>
      <c r="D48" s="331"/>
      <c r="E48"/>
      <c r="F48"/>
      <c r="G48"/>
    </row>
    <row r="49" spans="1:7" s="1" customFormat="1" ht="15" customHeight="1">
      <c r="A49" s="118" t="s">
        <v>105</v>
      </c>
      <c r="B49" s="8" t="s">
        <v>371</v>
      </c>
      <c r="C49" s="7" t="s">
        <v>170</v>
      </c>
      <c r="D49" s="331"/>
      <c r="E49"/>
      <c r="F49"/>
      <c r="G49"/>
    </row>
    <row r="50" spans="1:7" s="1" customFormat="1" ht="15" customHeight="1">
      <c r="A50" s="118" t="s">
        <v>351</v>
      </c>
      <c r="B50" s="8" t="s">
        <v>369</v>
      </c>
      <c r="C50" s="7" t="s">
        <v>170</v>
      </c>
      <c r="D50" s="331">
        <v>4</v>
      </c>
      <c r="E50"/>
      <c r="F50"/>
      <c r="G50"/>
    </row>
    <row r="51" spans="1:7" s="1" customFormat="1" ht="15" customHeight="1">
      <c r="A51" s="118" t="s">
        <v>106</v>
      </c>
      <c r="B51" s="8" t="s">
        <v>372</v>
      </c>
      <c r="C51" s="7" t="s">
        <v>375</v>
      </c>
      <c r="D51" s="331"/>
      <c r="E51"/>
      <c r="F51"/>
      <c r="G51"/>
    </row>
    <row r="52" spans="1:7" s="1" customFormat="1" ht="15" customHeight="1">
      <c r="A52" s="118" t="s">
        <v>107</v>
      </c>
      <c r="B52" s="8" t="s">
        <v>373</v>
      </c>
      <c r="C52" s="7" t="s">
        <v>170</v>
      </c>
      <c r="D52" s="331"/>
      <c r="E52"/>
      <c r="F52"/>
      <c r="G52"/>
    </row>
    <row r="53" spans="1:7" s="1" customFormat="1" ht="15" customHeight="1" thickBot="1">
      <c r="A53" s="432" t="s">
        <v>516</v>
      </c>
      <c r="B53" s="433" t="s">
        <v>374</v>
      </c>
      <c r="C53" s="434" t="s">
        <v>170</v>
      </c>
      <c r="D53" s="575">
        <v>5</v>
      </c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28" bottom="0.3937007874015748" header="0.31496062992125984" footer="0.11811023622047245"/>
  <pageSetup horizontalDpi="600" verticalDpi="600" orientation="portrait" paperSize="9" scale="90" r:id="rId3"/>
  <headerFooter alignWithMargins="0"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25" sqref="N25"/>
    </sheetView>
  </sheetViews>
  <sheetFormatPr defaultColWidth="9.00390625" defaultRowHeight="12.75"/>
  <cols>
    <col min="1" max="1" width="45.50390625" style="0" customWidth="1"/>
    <col min="2" max="2" width="10.00390625" style="3" customWidth="1"/>
    <col min="3" max="3" width="10.625" style="3" bestFit="1" customWidth="1"/>
    <col min="4" max="4" width="10.375" style="3" customWidth="1"/>
    <col min="5" max="5" width="9.875" style="3" customWidth="1"/>
    <col min="6" max="6" width="9.50390625" style="3" customWidth="1"/>
    <col min="7" max="7" width="13.125" style="3" customWidth="1"/>
    <col min="8" max="8" width="7.50390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50390625" style="0" bestFit="1" customWidth="1"/>
  </cols>
  <sheetData>
    <row r="1" spans="1:13" s="6" customFormat="1" ht="18" thickBot="1">
      <c r="A1" s="912" t="s">
        <v>498</v>
      </c>
      <c r="B1" s="912"/>
      <c r="C1" s="912"/>
      <c r="D1" s="912"/>
      <c r="E1" s="912"/>
      <c r="F1" s="912"/>
      <c r="G1" s="912"/>
      <c r="H1" s="217"/>
      <c r="I1" s="217"/>
      <c r="J1" s="217"/>
      <c r="K1" s="217"/>
      <c r="L1" s="220" t="s">
        <v>150</v>
      </c>
      <c r="M1" s="217"/>
    </row>
    <row r="2" spans="1:13" ht="13.5" thickBot="1">
      <c r="A2" s="127" t="s">
        <v>464</v>
      </c>
      <c r="M2" s="26" t="s">
        <v>58</v>
      </c>
    </row>
    <row r="3" spans="1:13" ht="29.25" customHeight="1">
      <c r="A3" s="913" t="s">
        <v>0</v>
      </c>
      <c r="B3" s="915" t="s">
        <v>110</v>
      </c>
      <c r="C3" s="905" t="s">
        <v>463</v>
      </c>
      <c r="D3" s="905"/>
      <c r="E3" s="905"/>
      <c r="F3" s="905"/>
      <c r="G3" s="906"/>
      <c r="H3" s="907" t="s">
        <v>164</v>
      </c>
      <c r="I3" s="908"/>
      <c r="J3" s="908"/>
      <c r="K3" s="908"/>
      <c r="L3" s="909"/>
      <c r="M3" s="106"/>
    </row>
    <row r="4" spans="1:14" s="2" customFormat="1" ht="52.5">
      <c r="A4" s="914"/>
      <c r="B4" s="916"/>
      <c r="C4" s="7" t="s">
        <v>4</v>
      </c>
      <c r="D4" s="7" t="s">
        <v>507</v>
      </c>
      <c r="E4" s="7" t="s">
        <v>344</v>
      </c>
      <c r="F4" s="7" t="s">
        <v>333</v>
      </c>
      <c r="G4" s="514" t="s">
        <v>9</v>
      </c>
      <c r="H4" s="255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15"/>
      <c r="B5" s="434"/>
      <c r="C5" s="434"/>
      <c r="D5" s="434" t="s">
        <v>314</v>
      </c>
      <c r="E5" s="434" t="s">
        <v>314</v>
      </c>
      <c r="F5" s="434" t="s">
        <v>331</v>
      </c>
      <c r="G5" s="516" t="s">
        <v>58</v>
      </c>
      <c r="H5" s="248"/>
      <c r="I5" s="18"/>
      <c r="J5" s="299"/>
      <c r="K5" s="248"/>
      <c r="L5" s="95"/>
      <c r="M5" s="17"/>
      <c r="N5"/>
    </row>
    <row r="6" spans="1:14" s="2" customFormat="1" ht="16.5" customHeight="1" thickBot="1">
      <c r="A6" s="510">
        <v>1</v>
      </c>
      <c r="B6" s="511">
        <v>2</v>
      </c>
      <c r="C6" s="512">
        <v>3</v>
      </c>
      <c r="D6" s="249">
        <v>4</v>
      </c>
      <c r="E6" s="249">
        <v>5</v>
      </c>
      <c r="F6" s="249">
        <v>6</v>
      </c>
      <c r="G6" s="513">
        <v>7</v>
      </c>
      <c r="H6" s="248">
        <v>8</v>
      </c>
      <c r="I6" s="18">
        <v>9</v>
      </c>
      <c r="J6" s="25">
        <v>10</v>
      </c>
      <c r="K6" s="83">
        <v>11</v>
      </c>
      <c r="L6" s="95">
        <v>12</v>
      </c>
      <c r="M6" s="17">
        <v>13</v>
      </c>
      <c r="N6"/>
    </row>
    <row r="7" spans="1:14" s="28" customFormat="1" ht="14.25" customHeight="1">
      <c r="A7" s="176" t="s">
        <v>62</v>
      </c>
      <c r="B7" s="292" t="s">
        <v>314</v>
      </c>
      <c r="C7" s="604"/>
      <c r="D7" s="605">
        <f>'Исход дан'!D16</f>
        <v>14580.550000000001</v>
      </c>
      <c r="E7" s="606"/>
      <c r="F7" s="606"/>
      <c r="G7" s="465"/>
      <c r="H7" s="235"/>
      <c r="I7" s="9">
        <f>D7</f>
        <v>14580.550000000001</v>
      </c>
      <c r="J7" s="9"/>
      <c r="K7" s="9"/>
      <c r="L7" s="24"/>
      <c r="M7" s="107"/>
      <c r="N7"/>
    </row>
    <row r="8" spans="1:14" s="2" customFormat="1" ht="15" customHeight="1">
      <c r="A8" s="61" t="s">
        <v>1</v>
      </c>
      <c r="B8" s="107"/>
      <c r="C8" s="455"/>
      <c r="D8" s="219"/>
      <c r="E8" s="219"/>
      <c r="F8" s="219"/>
      <c r="G8" s="585"/>
      <c r="H8" s="255"/>
      <c r="I8" s="7"/>
      <c r="J8" s="7"/>
      <c r="K8" s="7"/>
      <c r="L8" s="13"/>
      <c r="M8" s="17"/>
      <c r="N8"/>
    </row>
    <row r="9" spans="1:14" s="1" customFormat="1" ht="21.75" customHeight="1">
      <c r="A9" s="88" t="s">
        <v>457</v>
      </c>
      <c r="B9" s="17" t="s">
        <v>314</v>
      </c>
      <c r="C9" s="455" t="s">
        <v>334</v>
      </c>
      <c r="D9" s="525">
        <f>'Исход дан'!D14+'Исход дан'!D15</f>
        <v>2683.9</v>
      </c>
      <c r="E9" s="219">
        <v>1180</v>
      </c>
      <c r="F9" s="577">
        <f>D9/E9</f>
        <v>2.274491525423729</v>
      </c>
      <c r="G9" s="585"/>
      <c r="H9" s="255"/>
      <c r="I9" s="7">
        <f>D9</f>
        <v>2683.9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413</v>
      </c>
      <c r="B10" s="437"/>
      <c r="C10" s="469" t="s">
        <v>334</v>
      </c>
      <c r="D10" s="247" t="s">
        <v>334</v>
      </c>
      <c r="E10" s="247" t="s">
        <v>334</v>
      </c>
      <c r="F10" s="428">
        <v>1.12</v>
      </c>
      <c r="G10" s="586"/>
      <c r="H10" s="255"/>
      <c r="I10" s="7"/>
      <c r="J10" s="7"/>
      <c r="K10" s="85"/>
      <c r="L10" s="96"/>
      <c r="M10" s="17"/>
      <c r="N10"/>
    </row>
    <row r="11" spans="1:14" s="4" customFormat="1" ht="18.75" customHeight="1" thickBot="1">
      <c r="A11" s="360" t="s">
        <v>455</v>
      </c>
      <c r="B11" s="438" t="s">
        <v>331</v>
      </c>
      <c r="C11" s="607"/>
      <c r="D11" s="608"/>
      <c r="E11" s="608"/>
      <c r="F11" s="609">
        <f>F9*F10</f>
        <v>2.5474305084745765</v>
      </c>
      <c r="G11" s="361"/>
      <c r="H11" s="235"/>
      <c r="I11" s="9"/>
      <c r="J11" s="9"/>
      <c r="K11" s="81"/>
      <c r="L11" s="97"/>
      <c r="M11" s="107"/>
      <c r="N11"/>
    </row>
    <row r="12" spans="1:16" s="1" customFormat="1" ht="24" customHeight="1">
      <c r="A12" s="300" t="s">
        <v>415</v>
      </c>
      <c r="B12" s="111" t="s">
        <v>335</v>
      </c>
      <c r="C12" s="459">
        <v>6000</v>
      </c>
      <c r="D12" s="470" t="s">
        <v>334</v>
      </c>
      <c r="E12" s="470" t="s">
        <v>334</v>
      </c>
      <c r="F12" s="576">
        <f>F11</f>
        <v>2.5474305084745765</v>
      </c>
      <c r="G12" s="587">
        <f>C12*F12*12</f>
        <v>183414.9966101695</v>
      </c>
      <c r="H12" s="255">
        <f>C12</f>
        <v>6000</v>
      </c>
      <c r="I12" s="86">
        <f>I9</f>
        <v>2683.9</v>
      </c>
      <c r="J12" s="7">
        <v>377.66</v>
      </c>
      <c r="K12" s="82">
        <f>I12*J12/100</f>
        <v>10136.016740000001</v>
      </c>
      <c r="L12" s="98">
        <f>K12*12</f>
        <v>121632.20088000002</v>
      </c>
      <c r="M12" s="108">
        <f aca="true" t="shared" si="0" ref="M12:M19">G12-L12</f>
        <v>61782.795730169484</v>
      </c>
      <c r="N12" s="910"/>
      <c r="O12" s="911"/>
      <c r="P12" s="911"/>
    </row>
    <row r="13" spans="1:14" s="1" customFormat="1" ht="15" customHeight="1">
      <c r="A13" s="88" t="s">
        <v>546</v>
      </c>
      <c r="B13" s="673" t="s">
        <v>337</v>
      </c>
      <c r="C13" s="674">
        <v>2300</v>
      </c>
      <c r="D13" s="219" t="s">
        <v>334</v>
      </c>
      <c r="E13" s="219" t="s">
        <v>334</v>
      </c>
      <c r="F13" s="219">
        <v>1.098</v>
      </c>
      <c r="G13" s="588">
        <f>C13*F13*12</f>
        <v>30304.800000000003</v>
      </c>
      <c r="H13" s="256">
        <f>C13</f>
        <v>2300</v>
      </c>
      <c r="I13" s="7"/>
      <c r="J13" s="7">
        <v>188.83</v>
      </c>
      <c r="K13" s="82">
        <f>I12*J13/100</f>
        <v>5068.0083700000005</v>
      </c>
      <c r="L13" s="98">
        <f>K13*12</f>
        <v>60816.10044000001</v>
      </c>
      <c r="M13" s="108">
        <f t="shared" si="0"/>
        <v>-30511.300440000006</v>
      </c>
      <c r="N13"/>
    </row>
    <row r="14" spans="1:14" s="4" customFormat="1" ht="15" customHeight="1">
      <c r="A14" s="363" t="s">
        <v>10</v>
      </c>
      <c r="B14" s="445" t="s">
        <v>462</v>
      </c>
      <c r="C14" s="456" t="s">
        <v>334</v>
      </c>
      <c r="D14" s="454" t="s">
        <v>334</v>
      </c>
      <c r="E14" s="454" t="s">
        <v>334</v>
      </c>
      <c r="F14" s="454" t="s">
        <v>334</v>
      </c>
      <c r="G14" s="467">
        <f>G12+G13</f>
        <v>213719.79661016952</v>
      </c>
      <c r="H14" s="235"/>
      <c r="I14" s="9"/>
      <c r="J14" s="9">
        <f>J12+J13</f>
        <v>566.49</v>
      </c>
      <c r="K14" s="87">
        <f>SUM(K12:K13)</f>
        <v>15204.025110000002</v>
      </c>
      <c r="L14" s="99">
        <f>SUM(L12:L13)</f>
        <v>182448.30132000003</v>
      </c>
      <c r="M14" s="108">
        <f t="shared" si="0"/>
        <v>31271.495290169492</v>
      </c>
      <c r="N14"/>
    </row>
    <row r="15" spans="1:14" s="251" customFormat="1" ht="15" customHeight="1">
      <c r="A15" s="89" t="s">
        <v>12</v>
      </c>
      <c r="B15" s="439" t="s">
        <v>192</v>
      </c>
      <c r="C15" s="611">
        <v>0.302</v>
      </c>
      <c r="D15" s="219" t="s">
        <v>334</v>
      </c>
      <c r="E15" s="219" t="s">
        <v>334</v>
      </c>
      <c r="F15" s="219" t="s">
        <v>334</v>
      </c>
      <c r="G15" s="588">
        <f>G14*C15</f>
        <v>64543.37857627119</v>
      </c>
      <c r="H15" s="308">
        <v>0.262</v>
      </c>
      <c r="I15" s="150"/>
      <c r="J15" s="150">
        <v>148.42</v>
      </c>
      <c r="K15" s="307">
        <f>I12*J15/100</f>
        <v>3983.4443799999995</v>
      </c>
      <c r="L15" s="309">
        <f>K15*12</f>
        <v>47801.332559999995</v>
      </c>
      <c r="M15" s="310">
        <f t="shared" si="0"/>
        <v>16742.046016271197</v>
      </c>
      <c r="N15" s="31"/>
    </row>
    <row r="16" spans="1:14" s="251" customFormat="1" ht="15" customHeight="1">
      <c r="A16" s="89" t="s">
        <v>6</v>
      </c>
      <c r="B16" s="419" t="s">
        <v>343</v>
      </c>
      <c r="C16" s="612">
        <f>'спец инв'!K13</f>
        <v>2037.9444067796612</v>
      </c>
      <c r="D16" s="219" t="s">
        <v>334</v>
      </c>
      <c r="E16" s="219" t="s">
        <v>334</v>
      </c>
      <c r="F16" s="584">
        <f>F11</f>
        <v>2.5474305084745765</v>
      </c>
      <c r="G16" s="486">
        <f>C16*F16</f>
        <v>5191.521756405632</v>
      </c>
      <c r="H16" s="242">
        <v>14.51</v>
      </c>
      <c r="I16" s="150"/>
      <c r="J16" s="150">
        <v>2.63</v>
      </c>
      <c r="K16" s="311">
        <f>J16*I12/100</f>
        <v>70.58657</v>
      </c>
      <c r="L16" s="309">
        <f>K16*12</f>
        <v>847.0388399999999</v>
      </c>
      <c r="M16" s="310">
        <f t="shared" si="0"/>
        <v>4344.482916405632</v>
      </c>
      <c r="N16" s="31"/>
    </row>
    <row r="17" spans="1:14" s="251" customFormat="1" ht="15" customHeight="1">
      <c r="A17" s="89" t="s">
        <v>332</v>
      </c>
      <c r="B17" s="419" t="s">
        <v>343</v>
      </c>
      <c r="C17" s="612">
        <f>'спец инв'!K43</f>
        <v>3973.9915932203394</v>
      </c>
      <c r="D17" s="219" t="s">
        <v>334</v>
      </c>
      <c r="E17" s="219" t="s">
        <v>334</v>
      </c>
      <c r="F17" s="584">
        <f>F11</f>
        <v>2.5474305084745765</v>
      </c>
      <c r="G17" s="486">
        <f>C17*F17</f>
        <v>10123.467424990982</v>
      </c>
      <c r="H17" s="242">
        <v>21.86</v>
      </c>
      <c r="I17" s="150"/>
      <c r="J17" s="150">
        <v>6.59</v>
      </c>
      <c r="K17" s="311">
        <f>I12*J17/100</f>
        <v>176.86901</v>
      </c>
      <c r="L17" s="309">
        <f>K17*12</f>
        <v>2122.42812</v>
      </c>
      <c r="M17" s="310">
        <f t="shared" si="0"/>
        <v>8001.039304990982</v>
      </c>
      <c r="N17" s="31"/>
    </row>
    <row r="18" spans="1:14" s="251" customFormat="1" ht="15" customHeight="1" thickBot="1">
      <c r="A18" s="354" t="s">
        <v>330</v>
      </c>
      <c r="B18" s="440" t="s">
        <v>336</v>
      </c>
      <c r="C18" s="612">
        <v>2.64</v>
      </c>
      <c r="D18" s="247">
        <f>D9</f>
        <v>2683.9</v>
      </c>
      <c r="E18" s="247" t="s">
        <v>334</v>
      </c>
      <c r="F18" s="428" t="s">
        <v>334</v>
      </c>
      <c r="G18" s="589">
        <f>C18*D18</f>
        <v>7085.496000000001</v>
      </c>
      <c r="H18" s="242"/>
      <c r="I18" s="150"/>
      <c r="J18" s="150"/>
      <c r="K18" s="311"/>
      <c r="L18" s="309"/>
      <c r="M18" s="310"/>
      <c r="N18" s="31"/>
    </row>
    <row r="19" spans="1:14" s="4" customFormat="1" ht="30.75" customHeight="1" thickBot="1">
      <c r="A19" s="301" t="s">
        <v>414</v>
      </c>
      <c r="B19" s="441"/>
      <c r="C19" s="457" t="s">
        <v>334</v>
      </c>
      <c r="D19" s="463" t="s">
        <v>334</v>
      </c>
      <c r="E19" s="463" t="s">
        <v>334</v>
      </c>
      <c r="F19" s="463" t="s">
        <v>334</v>
      </c>
      <c r="G19" s="590">
        <f>G14+G15+G16+G17+G18</f>
        <v>300663.6603678373</v>
      </c>
      <c r="H19" s="258"/>
      <c r="I19" s="116"/>
      <c r="J19" s="183">
        <f>SUM(J14:J18)</f>
        <v>724.13</v>
      </c>
      <c r="K19" s="183">
        <f>SUM(K14:K18)</f>
        <v>19434.92507</v>
      </c>
      <c r="L19" s="184">
        <f>SUM(L14:L18)</f>
        <v>233219.10084000003</v>
      </c>
      <c r="M19" s="172">
        <f t="shared" si="0"/>
        <v>67444.55952783726</v>
      </c>
      <c r="N19"/>
    </row>
    <row r="20" spans="1:14" s="1" customFormat="1" ht="15" customHeight="1">
      <c r="A20" s="176" t="s">
        <v>7</v>
      </c>
      <c r="B20" s="292"/>
      <c r="C20" s="459"/>
      <c r="D20" s="470"/>
      <c r="E20" s="470"/>
      <c r="F20" s="470"/>
      <c r="G20" s="591"/>
      <c r="H20" s="248" t="s">
        <v>165</v>
      </c>
      <c r="I20" s="18"/>
      <c r="J20" s="7" t="s">
        <v>163</v>
      </c>
      <c r="K20" s="7" t="s">
        <v>8</v>
      </c>
      <c r="L20" s="13" t="s">
        <v>9</v>
      </c>
      <c r="M20" s="111"/>
      <c r="N20"/>
    </row>
    <row r="21" spans="1:14" s="1" customFormat="1" ht="15" customHeight="1">
      <c r="A21" s="88" t="s">
        <v>460</v>
      </c>
      <c r="B21" s="17"/>
      <c r="C21" s="455"/>
      <c r="D21" s="219"/>
      <c r="E21" s="219"/>
      <c r="F21" s="219"/>
      <c r="G21" s="585"/>
      <c r="H21" s="255"/>
      <c r="I21" s="7"/>
      <c r="J21" s="7"/>
      <c r="K21" s="7"/>
      <c r="L21" s="13"/>
      <c r="M21" s="17"/>
      <c r="N21"/>
    </row>
    <row r="22" spans="1:14" s="1" customFormat="1" ht="15" customHeight="1">
      <c r="A22" s="423" t="s">
        <v>448</v>
      </c>
      <c r="B22" s="442"/>
      <c r="C22" s="455" t="s">
        <v>334</v>
      </c>
      <c r="D22" s="429">
        <f>'Исход дан'!D40</f>
        <v>0</v>
      </c>
      <c r="E22" s="429">
        <v>3630</v>
      </c>
      <c r="F22" s="577">
        <f>D22/E22</f>
        <v>0</v>
      </c>
      <c r="G22" s="592"/>
      <c r="H22" s="259">
        <v>6.5</v>
      </c>
      <c r="I22" s="223">
        <f>D22</f>
        <v>0</v>
      </c>
      <c r="J22" s="223">
        <v>215.67</v>
      </c>
      <c r="K22" s="224">
        <f>J22*I22/100</f>
        <v>0</v>
      </c>
      <c r="L22" s="227">
        <f>K22*H22</f>
        <v>0</v>
      </c>
      <c r="M22" s="225"/>
      <c r="N22"/>
    </row>
    <row r="23" spans="1:16" s="1" customFormat="1" ht="15" customHeight="1">
      <c r="A23" s="423" t="s">
        <v>449</v>
      </c>
      <c r="B23" s="442"/>
      <c r="C23" s="455" t="s">
        <v>334</v>
      </c>
      <c r="D23" s="429">
        <f>'Исход дан'!D41</f>
        <v>2791</v>
      </c>
      <c r="E23" s="429">
        <v>3080</v>
      </c>
      <c r="F23" s="577">
        <f>ROUND(D23/E23,3)</f>
        <v>0.906</v>
      </c>
      <c r="G23" s="592"/>
      <c r="H23" s="260">
        <v>5.5</v>
      </c>
      <c r="I23" s="221">
        <f>I22</f>
        <v>0</v>
      </c>
      <c r="J23" s="221">
        <v>650.95</v>
      </c>
      <c r="K23" s="222">
        <f>J23*I23/100</f>
        <v>0</v>
      </c>
      <c r="L23" s="228">
        <f>K23*H23</f>
        <v>0</v>
      </c>
      <c r="M23" s="226"/>
      <c r="N23"/>
      <c r="P23" s="1" t="s">
        <v>459</v>
      </c>
    </row>
    <row r="24" spans="1:14" s="1" customFormat="1" ht="15" customHeight="1">
      <c r="A24" s="423" t="s">
        <v>450</v>
      </c>
      <c r="B24" s="442"/>
      <c r="C24" s="455" t="s">
        <v>334</v>
      </c>
      <c r="D24" s="429"/>
      <c r="E24" s="429">
        <v>2500</v>
      </c>
      <c r="F24" s="577">
        <f>ROUND(D24/E24,3)</f>
        <v>0</v>
      </c>
      <c r="G24" s="592"/>
      <c r="H24" s="255"/>
      <c r="I24" s="7"/>
      <c r="J24" s="7"/>
      <c r="K24" s="10"/>
      <c r="L24" s="119"/>
      <c r="M24" s="17"/>
      <c r="N24"/>
    </row>
    <row r="25" spans="1:14" s="1" customFormat="1" ht="15" customHeight="1">
      <c r="A25" s="423" t="s">
        <v>558</v>
      </c>
      <c r="B25" s="442"/>
      <c r="C25" s="455"/>
      <c r="D25" s="429">
        <f>'Исход дан'!D42</f>
        <v>1895</v>
      </c>
      <c r="E25" s="429"/>
      <c r="F25" s="577">
        <f>D25/E24</f>
        <v>0.758</v>
      </c>
      <c r="G25" s="592"/>
      <c r="H25" s="255"/>
      <c r="I25" s="7"/>
      <c r="J25" s="7"/>
      <c r="K25" s="10"/>
      <c r="L25" s="119"/>
      <c r="M25" s="17"/>
      <c r="N25"/>
    </row>
    <row r="26" spans="1:14" s="1" customFormat="1" ht="15" customHeight="1">
      <c r="A26" s="423" t="s">
        <v>451</v>
      </c>
      <c r="B26" s="442"/>
      <c r="C26" s="455" t="s">
        <v>334</v>
      </c>
      <c r="D26" s="429">
        <f>'Исход дан'!D43</f>
        <v>0</v>
      </c>
      <c r="E26" s="429">
        <v>2340</v>
      </c>
      <c r="F26" s="577">
        <f>ROUND(D26/E26,3)</f>
        <v>0</v>
      </c>
      <c r="G26" s="592"/>
      <c r="H26" s="259">
        <v>6.5</v>
      </c>
      <c r="I26" s="223">
        <f>D26</f>
        <v>0</v>
      </c>
      <c r="J26" s="223">
        <v>279.99</v>
      </c>
      <c r="K26" s="224">
        <f>J26*I26/100</f>
        <v>0</v>
      </c>
      <c r="L26" s="227">
        <f>K26*H26</f>
        <v>0</v>
      </c>
      <c r="M26" s="225"/>
      <c r="N26"/>
    </row>
    <row r="27" spans="1:14" s="1" customFormat="1" ht="15" customHeight="1">
      <c r="A27" s="423" t="s">
        <v>452</v>
      </c>
      <c r="B27" s="442"/>
      <c r="C27" s="455" t="s">
        <v>334</v>
      </c>
      <c r="D27" s="429">
        <f>'Исход дан'!D44</f>
        <v>0</v>
      </c>
      <c r="E27" s="429">
        <v>1980</v>
      </c>
      <c r="F27" s="577">
        <f>ROUND(D27/E27,3)</f>
        <v>0</v>
      </c>
      <c r="G27" s="592"/>
      <c r="H27" s="260">
        <v>5.5</v>
      </c>
      <c r="I27" s="221">
        <f>I26</f>
        <v>0</v>
      </c>
      <c r="J27" s="221">
        <v>931.98</v>
      </c>
      <c r="K27" s="222">
        <f>J27*I27/100</f>
        <v>0</v>
      </c>
      <c r="L27" s="228">
        <f>K27*H27</f>
        <v>0</v>
      </c>
      <c r="M27" s="226"/>
      <c r="N27"/>
    </row>
    <row r="28" spans="1:14" s="1" customFormat="1" ht="15" customHeight="1">
      <c r="A28" s="423" t="s">
        <v>453</v>
      </c>
      <c r="B28" s="442"/>
      <c r="C28" s="455" t="s">
        <v>334</v>
      </c>
      <c r="D28" s="429">
        <f>'Исход дан'!D45</f>
        <v>0</v>
      </c>
      <c r="E28" s="429">
        <v>1610</v>
      </c>
      <c r="F28" s="577">
        <f>ROUND(D28/E28,3)</f>
        <v>0</v>
      </c>
      <c r="G28" s="592"/>
      <c r="H28" s="255"/>
      <c r="I28" s="7"/>
      <c r="J28" s="7"/>
      <c r="K28" s="10"/>
      <c r="L28" s="119"/>
      <c r="M28" s="17"/>
      <c r="N28"/>
    </row>
    <row r="29" spans="1:14" s="1" customFormat="1" ht="15" customHeight="1">
      <c r="A29" s="423"/>
      <c r="B29" s="442"/>
      <c r="C29" s="455"/>
      <c r="D29" s="429"/>
      <c r="E29" s="429"/>
      <c r="F29" s="613"/>
      <c r="G29" s="592"/>
      <c r="H29" s="255"/>
      <c r="I29" s="7"/>
      <c r="J29" s="7"/>
      <c r="K29" s="10"/>
      <c r="L29" s="119"/>
      <c r="M29" s="17"/>
      <c r="N29"/>
    </row>
    <row r="30" spans="1:14" s="1" customFormat="1" ht="15" customHeight="1">
      <c r="A30" s="423" t="s">
        <v>454</v>
      </c>
      <c r="B30" s="442"/>
      <c r="C30" s="455" t="s">
        <v>334</v>
      </c>
      <c r="D30" s="429">
        <f>'Исход дан'!D46</f>
        <v>3208.2</v>
      </c>
      <c r="E30" s="429">
        <v>30000</v>
      </c>
      <c r="F30" s="577">
        <f>ROUND(D30/E30,3)</f>
        <v>0.107</v>
      </c>
      <c r="G30" s="592"/>
      <c r="H30" s="259">
        <v>6.5</v>
      </c>
      <c r="I30" s="223">
        <f>D30</f>
        <v>3208.2</v>
      </c>
      <c r="J30" s="223">
        <v>77.76</v>
      </c>
      <c r="K30" s="224">
        <f>J30*I30/100</f>
        <v>2494.69632</v>
      </c>
      <c r="L30" s="227">
        <f>K30*H30</f>
        <v>16215.52608</v>
      </c>
      <c r="M30" s="225"/>
      <c r="N30"/>
    </row>
    <row r="31" spans="1:14" s="5" customFormat="1" ht="15" customHeight="1">
      <c r="A31" s="424" t="s">
        <v>458</v>
      </c>
      <c r="B31" s="443" t="s">
        <v>331</v>
      </c>
      <c r="C31" s="455" t="s">
        <v>334</v>
      </c>
      <c r="D31" s="219" t="s">
        <v>334</v>
      </c>
      <c r="E31" s="219" t="s">
        <v>334</v>
      </c>
      <c r="F31" s="614">
        <f>F22+F23+F24++F25+F26+F27+F28+F30</f>
        <v>1.7710000000000001</v>
      </c>
      <c r="G31" s="466"/>
      <c r="H31" s="261"/>
      <c r="I31" s="230"/>
      <c r="J31" s="230"/>
      <c r="K31" s="229"/>
      <c r="L31" s="232" t="e">
        <f>L23+L27+#REF!+#REF!</f>
        <v>#REF!</v>
      </c>
      <c r="M31" s="231"/>
      <c r="N31"/>
    </row>
    <row r="32" spans="1:13" s="31" customFormat="1" ht="15" customHeight="1" thickBot="1">
      <c r="A32" s="425" t="s">
        <v>408</v>
      </c>
      <c r="B32" s="444"/>
      <c r="C32" s="455" t="s">
        <v>334</v>
      </c>
      <c r="D32" s="219" t="s">
        <v>334</v>
      </c>
      <c r="E32" s="219" t="s">
        <v>334</v>
      </c>
      <c r="F32" s="615">
        <v>1.12</v>
      </c>
      <c r="G32" s="593"/>
      <c r="H32" s="242"/>
      <c r="I32" s="32"/>
      <c r="J32" s="32"/>
      <c r="K32" s="84"/>
      <c r="L32" s="101"/>
      <c r="M32" s="312"/>
    </row>
    <row r="33" spans="1:14" s="5" customFormat="1" ht="18.75" customHeight="1" thickBot="1">
      <c r="A33" s="360" t="s">
        <v>456</v>
      </c>
      <c r="B33" s="438"/>
      <c r="C33" s="458" t="s">
        <v>334</v>
      </c>
      <c r="D33" s="430" t="s">
        <v>334</v>
      </c>
      <c r="E33" s="430" t="s">
        <v>334</v>
      </c>
      <c r="F33" s="526">
        <f>F31*F32</f>
        <v>1.9835200000000004</v>
      </c>
      <c r="G33" s="365"/>
      <c r="H33" s="262"/>
      <c r="I33" s="185"/>
      <c r="J33" s="185"/>
      <c r="K33" s="187"/>
      <c r="L33" s="186"/>
      <c r="M33" s="188"/>
      <c r="N33"/>
    </row>
    <row r="34" spans="1:14" ht="24.75" customHeight="1">
      <c r="A34" s="300" t="s">
        <v>415</v>
      </c>
      <c r="B34" s="111" t="s">
        <v>337</v>
      </c>
      <c r="C34" s="459">
        <v>6000</v>
      </c>
      <c r="D34" s="219" t="s">
        <v>334</v>
      </c>
      <c r="E34" s="219" t="s">
        <v>334</v>
      </c>
      <c r="F34" s="576">
        <f>F33</f>
        <v>1.9835200000000004</v>
      </c>
      <c r="G34" s="594">
        <f>C34*F34*12</f>
        <v>142813.44000000003</v>
      </c>
      <c r="H34" s="255">
        <f>C34</f>
        <v>6000</v>
      </c>
      <c r="I34" s="7"/>
      <c r="J34" s="7"/>
      <c r="K34" s="82"/>
      <c r="L34" s="104"/>
      <c r="M34" s="108"/>
      <c r="N34" s="359"/>
    </row>
    <row r="35" spans="1:13" ht="15" customHeight="1" thickBot="1">
      <c r="A35" s="92" t="s">
        <v>546</v>
      </c>
      <c r="B35" s="437" t="s">
        <v>337</v>
      </c>
      <c r="C35" s="675">
        <v>2300</v>
      </c>
      <c r="D35" s="219" t="s">
        <v>334</v>
      </c>
      <c r="E35" s="219" t="s">
        <v>334</v>
      </c>
      <c r="F35" s="219">
        <v>1.984</v>
      </c>
      <c r="G35" s="595">
        <f>C35*F35*12</f>
        <v>54758.399999999994</v>
      </c>
      <c r="H35" s="263">
        <v>0.5</v>
      </c>
      <c r="I35" s="12"/>
      <c r="J35" s="12"/>
      <c r="K35" s="94"/>
      <c r="L35" s="105"/>
      <c r="M35" s="175"/>
    </row>
    <row r="36" spans="1:14" s="5" customFormat="1" ht="15" customHeight="1" thickBot="1">
      <c r="A36" s="363" t="s">
        <v>10</v>
      </c>
      <c r="B36" s="445" t="s">
        <v>462</v>
      </c>
      <c r="C36" s="456" t="s">
        <v>334</v>
      </c>
      <c r="D36" s="454" t="s">
        <v>334</v>
      </c>
      <c r="E36" s="454" t="s">
        <v>334</v>
      </c>
      <c r="F36" s="454" t="s">
        <v>334</v>
      </c>
      <c r="G36" s="467">
        <f>G34+G35</f>
        <v>197571.84000000003</v>
      </c>
      <c r="H36" s="264"/>
      <c r="I36" s="114"/>
      <c r="J36" s="114"/>
      <c r="K36" s="173"/>
      <c r="L36" s="177"/>
      <c r="M36" s="178"/>
      <c r="N36"/>
    </row>
    <row r="37" spans="1:13" s="22" customFormat="1" ht="15" customHeight="1" thickBot="1">
      <c r="A37" s="425" t="s">
        <v>13</v>
      </c>
      <c r="B37" s="444" t="s">
        <v>192</v>
      </c>
      <c r="C37" s="460">
        <v>0.302</v>
      </c>
      <c r="D37" s="219" t="s">
        <v>334</v>
      </c>
      <c r="E37" s="219" t="s">
        <v>334</v>
      </c>
      <c r="F37" s="219" t="s">
        <v>334</v>
      </c>
      <c r="G37" s="596">
        <f>G36*C37</f>
        <v>59666.695680000004</v>
      </c>
      <c r="H37" s="323">
        <v>0.262</v>
      </c>
      <c r="I37" s="321"/>
      <c r="J37" s="321"/>
      <c r="K37" s="322"/>
      <c r="L37" s="324"/>
      <c r="M37" s="325"/>
    </row>
    <row r="38" spans="1:13" s="22" customFormat="1" ht="15" customHeight="1" thickBot="1">
      <c r="A38" s="425" t="s">
        <v>338</v>
      </c>
      <c r="B38" s="419" t="s">
        <v>343</v>
      </c>
      <c r="C38" s="612">
        <f>'спец инв'!K22</f>
        <v>1626.4864000000002</v>
      </c>
      <c r="D38" s="429" t="s">
        <v>334</v>
      </c>
      <c r="E38" s="429" t="s">
        <v>334</v>
      </c>
      <c r="F38" s="577">
        <f>F33</f>
        <v>1.9835200000000004</v>
      </c>
      <c r="G38" s="597">
        <f>C38*F38</f>
        <v>3226.168304128001</v>
      </c>
      <c r="H38" s="316"/>
      <c r="I38" s="315"/>
      <c r="J38" s="315"/>
      <c r="K38" s="315"/>
      <c r="L38" s="313"/>
      <c r="M38" s="317"/>
    </row>
    <row r="39" spans="1:13" s="22" customFormat="1" ht="15" customHeight="1" thickBot="1">
      <c r="A39" s="425" t="s">
        <v>339</v>
      </c>
      <c r="B39" s="419" t="s">
        <v>343</v>
      </c>
      <c r="C39" s="612">
        <f>'спец инв'!K69</f>
        <v>11992.16907777778</v>
      </c>
      <c r="D39" s="429" t="s">
        <v>334</v>
      </c>
      <c r="E39" s="429" t="s">
        <v>334</v>
      </c>
      <c r="F39" s="577">
        <f>F33</f>
        <v>1.9835200000000004</v>
      </c>
      <c r="G39" s="597">
        <f>C39*F39</f>
        <v>23786.70720915379</v>
      </c>
      <c r="H39" s="316"/>
      <c r="I39" s="318"/>
      <c r="J39" s="315"/>
      <c r="K39" s="315"/>
      <c r="L39" s="313"/>
      <c r="M39" s="317"/>
    </row>
    <row r="40" spans="1:13" s="22" customFormat="1" ht="15" customHeight="1" thickBot="1">
      <c r="A40" s="425" t="s">
        <v>340</v>
      </c>
      <c r="B40" s="419" t="s">
        <v>343</v>
      </c>
      <c r="C40" s="612">
        <f>'спец инв'!K56</f>
        <v>6772.8943333333345</v>
      </c>
      <c r="D40" s="429" t="s">
        <v>334</v>
      </c>
      <c r="E40" s="429" t="s">
        <v>334</v>
      </c>
      <c r="F40" s="577">
        <f>F33</f>
        <v>1.9835200000000004</v>
      </c>
      <c r="G40" s="597">
        <f>C40*F40</f>
        <v>13434.171368053338</v>
      </c>
      <c r="H40" s="316"/>
      <c r="I40" s="318"/>
      <c r="J40" s="315"/>
      <c r="K40" s="315"/>
      <c r="L40" s="313"/>
      <c r="M40" s="317"/>
    </row>
    <row r="41" spans="1:13" s="22" customFormat="1" ht="15" customHeight="1" thickBot="1">
      <c r="A41" s="425" t="s">
        <v>341</v>
      </c>
      <c r="B41" s="419" t="s">
        <v>437</v>
      </c>
      <c r="C41" s="461" t="s">
        <v>334</v>
      </c>
      <c r="D41" s="429" t="s">
        <v>334</v>
      </c>
      <c r="E41" s="429" t="s">
        <v>334</v>
      </c>
      <c r="F41" s="429" t="s">
        <v>334</v>
      </c>
      <c r="G41" s="597">
        <f>'спец инв'!K71</f>
        <v>1172.22</v>
      </c>
      <c r="H41" s="320"/>
      <c r="I41" s="314"/>
      <c r="J41" s="315"/>
      <c r="K41" s="315"/>
      <c r="L41" s="319"/>
      <c r="M41" s="317"/>
    </row>
    <row r="42" spans="1:14" s="5" customFormat="1" ht="30.75" customHeight="1" thickBot="1">
      <c r="A42" s="301" t="s">
        <v>418</v>
      </c>
      <c r="B42" s="441"/>
      <c r="C42" s="457" t="s">
        <v>334</v>
      </c>
      <c r="D42" s="463" t="s">
        <v>334</v>
      </c>
      <c r="E42" s="463" t="s">
        <v>334</v>
      </c>
      <c r="F42" s="463" t="s">
        <v>334</v>
      </c>
      <c r="G42" s="598">
        <f>G36+G37+G38+G39+G40+G41</f>
        <v>298857.80256133515</v>
      </c>
      <c r="H42" s="264"/>
      <c r="I42" s="114"/>
      <c r="J42" s="114"/>
      <c r="K42" s="173" t="e">
        <f>L42/12</f>
        <v>#REF!</v>
      </c>
      <c r="L42" s="174" t="e">
        <f>#REF!+L31</f>
        <v>#REF!</v>
      </c>
      <c r="M42" s="108" t="e">
        <f>G42-L42</f>
        <v>#REF!</v>
      </c>
      <c r="N42"/>
    </row>
    <row r="43" spans="1:14" s="2" customFormat="1" ht="1.5" customHeight="1">
      <c r="A43" s="176" t="s">
        <v>11</v>
      </c>
      <c r="B43" s="292"/>
      <c r="C43" s="459"/>
      <c r="D43" s="470"/>
      <c r="E43" s="470"/>
      <c r="F43" s="286"/>
      <c r="G43" s="591"/>
      <c r="H43" s="248"/>
      <c r="I43" s="18"/>
      <c r="J43" s="18"/>
      <c r="K43" s="18"/>
      <c r="L43" s="95"/>
      <c r="M43" s="111"/>
      <c r="N43"/>
    </row>
    <row r="44" spans="1:14" s="1" customFormat="1" ht="27.75" customHeight="1" hidden="1">
      <c r="A44" s="88" t="s">
        <v>419</v>
      </c>
      <c r="B44" s="17"/>
      <c r="C44" s="429" t="s">
        <v>334</v>
      </c>
      <c r="D44" s="219">
        <f>'Исход дан'!D12</f>
        <v>151</v>
      </c>
      <c r="E44" s="219"/>
      <c r="F44" s="577">
        <v>0</v>
      </c>
      <c r="G44" s="585"/>
      <c r="H44" s="25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 hidden="1">
      <c r="A45" s="89" t="s">
        <v>409</v>
      </c>
      <c r="B45" s="17"/>
      <c r="C45" s="429" t="s">
        <v>334</v>
      </c>
      <c r="D45" s="429" t="s">
        <v>334</v>
      </c>
      <c r="E45" s="429" t="s">
        <v>334</v>
      </c>
      <c r="F45" s="616">
        <v>1.12</v>
      </c>
      <c r="G45" s="585"/>
      <c r="H45" s="25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 hidden="1">
      <c r="A46" s="367" t="s">
        <v>461</v>
      </c>
      <c r="B46" s="446"/>
      <c r="C46" s="617"/>
      <c r="D46" s="618"/>
      <c r="E46" s="618"/>
      <c r="F46" s="619">
        <f>F44*F45</f>
        <v>0</v>
      </c>
      <c r="G46" s="599"/>
      <c r="H46" s="343"/>
      <c r="I46" s="342"/>
      <c r="J46" s="342"/>
      <c r="K46" s="344">
        <f>SUM(K44:K45)</f>
        <v>0</v>
      </c>
      <c r="L46" s="345"/>
      <c r="M46" s="346"/>
      <c r="N46" s="254"/>
    </row>
    <row r="47" spans="1:14" s="1" customFormat="1" ht="25.5" customHeight="1" hidden="1">
      <c r="A47" s="88" t="s">
        <v>415</v>
      </c>
      <c r="B47" s="17" t="s">
        <v>337</v>
      </c>
      <c r="C47" s="455"/>
      <c r="D47" s="219" t="s">
        <v>334</v>
      </c>
      <c r="E47" s="219" t="s">
        <v>334</v>
      </c>
      <c r="F47" s="576">
        <f>F46</f>
        <v>0</v>
      </c>
      <c r="G47" s="588">
        <f>C47*F47*12</f>
        <v>0</v>
      </c>
      <c r="H47" s="255">
        <f>C47</f>
        <v>0</v>
      </c>
      <c r="I47" s="7">
        <v>0</v>
      </c>
      <c r="J47" s="7">
        <v>675.64</v>
      </c>
      <c r="K47" s="82">
        <f>I47*J47</f>
        <v>0</v>
      </c>
      <c r="L47" s="98">
        <f>K47*12</f>
        <v>0</v>
      </c>
      <c r="M47" s="108">
        <f aca="true" t="shared" si="1" ref="M47:M60">G47-L47</f>
        <v>0</v>
      </c>
      <c r="N47"/>
    </row>
    <row r="48" spans="1:14" s="1" customFormat="1" ht="15" customHeight="1" hidden="1">
      <c r="A48" s="88" t="s">
        <v>5</v>
      </c>
      <c r="B48" s="17" t="s">
        <v>192</v>
      </c>
      <c r="C48" s="610"/>
      <c r="D48" s="219" t="s">
        <v>334</v>
      </c>
      <c r="E48" s="219" t="s">
        <v>334</v>
      </c>
      <c r="F48" s="219" t="s">
        <v>334</v>
      </c>
      <c r="G48" s="588">
        <f>G47*C48</f>
        <v>0</v>
      </c>
      <c r="H48" s="256">
        <f>C48</f>
        <v>0</v>
      </c>
      <c r="I48" s="7">
        <v>0</v>
      </c>
      <c r="J48" s="7">
        <v>270.26</v>
      </c>
      <c r="K48" s="82">
        <f>I48*J48</f>
        <v>0</v>
      </c>
      <c r="L48" s="98">
        <f>K48*12</f>
        <v>0</v>
      </c>
      <c r="M48" s="108">
        <f t="shared" si="1"/>
        <v>0</v>
      </c>
      <c r="N48"/>
    </row>
    <row r="49" spans="1:14" s="4" customFormat="1" ht="15" customHeight="1" hidden="1">
      <c r="A49" s="363" t="s">
        <v>10</v>
      </c>
      <c r="B49" s="445" t="s">
        <v>462</v>
      </c>
      <c r="C49" s="456" t="s">
        <v>334</v>
      </c>
      <c r="D49" s="454" t="s">
        <v>334</v>
      </c>
      <c r="E49" s="454" t="s">
        <v>334</v>
      </c>
      <c r="F49" s="454" t="s">
        <v>334</v>
      </c>
      <c r="G49" s="467">
        <f>G47+G48</f>
        <v>0</v>
      </c>
      <c r="H49" s="235"/>
      <c r="I49" s="9"/>
      <c r="J49" s="9"/>
      <c r="K49" s="87">
        <f>SUM(K47:K48)</f>
        <v>0</v>
      </c>
      <c r="L49" s="99">
        <f>SUM(L47:L48)</f>
        <v>0</v>
      </c>
      <c r="M49" s="108">
        <f t="shared" si="1"/>
        <v>0</v>
      </c>
      <c r="N49"/>
    </row>
    <row r="50" spans="1:14" s="1" customFormat="1" ht="15" customHeight="1" hidden="1">
      <c r="A50" s="88" t="s">
        <v>12</v>
      </c>
      <c r="B50" s="17" t="s">
        <v>192</v>
      </c>
      <c r="C50" s="611">
        <v>0.302</v>
      </c>
      <c r="D50" s="219" t="s">
        <v>334</v>
      </c>
      <c r="E50" s="219" t="s">
        <v>334</v>
      </c>
      <c r="F50" s="219" t="s">
        <v>334</v>
      </c>
      <c r="G50" s="588">
        <f>G49*C50</f>
        <v>0</v>
      </c>
      <c r="H50" s="257">
        <v>0.262</v>
      </c>
      <c r="I50" s="7">
        <v>0</v>
      </c>
      <c r="J50" s="7">
        <v>299.64</v>
      </c>
      <c r="K50" s="82">
        <f>I50*J50</f>
        <v>0</v>
      </c>
      <c r="L50" s="100">
        <f>K50*12</f>
        <v>0</v>
      </c>
      <c r="M50" s="108">
        <f t="shared" si="1"/>
        <v>0</v>
      </c>
      <c r="N50"/>
    </row>
    <row r="51" spans="1:14" s="33" customFormat="1" ht="15" customHeight="1" hidden="1">
      <c r="A51" s="90" t="s">
        <v>6</v>
      </c>
      <c r="B51" s="419" t="s">
        <v>343</v>
      </c>
      <c r="C51" s="612">
        <v>1187</v>
      </c>
      <c r="D51" s="431" t="s">
        <v>334</v>
      </c>
      <c r="E51" s="431" t="s">
        <v>334</v>
      </c>
      <c r="F51" s="625">
        <f>F46</f>
        <v>0</v>
      </c>
      <c r="G51" s="468">
        <f>C51*F51</f>
        <v>0</v>
      </c>
      <c r="H51" s="265"/>
      <c r="I51" s="7">
        <v>0</v>
      </c>
      <c r="J51" s="35">
        <v>8.91</v>
      </c>
      <c r="K51" s="82">
        <f>I51*J51</f>
        <v>0</v>
      </c>
      <c r="L51" s="100">
        <f>K51*12</f>
        <v>0</v>
      </c>
      <c r="M51" s="108">
        <f t="shared" si="1"/>
        <v>0</v>
      </c>
      <c r="N51"/>
    </row>
    <row r="52" spans="1:14" s="33" customFormat="1" ht="15" customHeight="1" hidden="1">
      <c r="A52" s="90" t="s">
        <v>25</v>
      </c>
      <c r="B52" s="419" t="s">
        <v>343</v>
      </c>
      <c r="C52" s="620">
        <v>0</v>
      </c>
      <c r="D52" s="431" t="s">
        <v>334</v>
      </c>
      <c r="E52" s="431" t="s">
        <v>334</v>
      </c>
      <c r="F52" s="625">
        <f>F46</f>
        <v>0</v>
      </c>
      <c r="G52" s="468">
        <f>C52*F52</f>
        <v>0</v>
      </c>
      <c r="H52" s="265"/>
      <c r="I52" s="7">
        <v>0</v>
      </c>
      <c r="J52" s="35">
        <v>116.64</v>
      </c>
      <c r="K52" s="82">
        <f>I52*J52</f>
        <v>0</v>
      </c>
      <c r="L52" s="100">
        <f>K52*12</f>
        <v>0</v>
      </c>
      <c r="M52" s="108">
        <f t="shared" si="1"/>
        <v>0</v>
      </c>
      <c r="N52"/>
    </row>
    <row r="53" spans="1:14" s="33" customFormat="1" ht="15" customHeight="1" hidden="1">
      <c r="A53" s="364" t="s">
        <v>57</v>
      </c>
      <c r="B53" s="447"/>
      <c r="C53" s="621" t="s">
        <v>334</v>
      </c>
      <c r="D53" s="431" t="s">
        <v>334</v>
      </c>
      <c r="E53" s="431" t="s">
        <v>334</v>
      </c>
      <c r="F53" s="219" t="s">
        <v>334</v>
      </c>
      <c r="G53" s="589">
        <f>'спец инв'!K95</f>
        <v>0</v>
      </c>
      <c r="H53" s="265"/>
      <c r="I53" s="7">
        <v>0</v>
      </c>
      <c r="J53" s="35"/>
      <c r="K53" s="82">
        <f>I53*J53</f>
        <v>0</v>
      </c>
      <c r="L53" s="100">
        <f>K53*12</f>
        <v>0</v>
      </c>
      <c r="M53" s="108">
        <f t="shared" si="1"/>
        <v>0</v>
      </c>
      <c r="N53"/>
    </row>
    <row r="54" spans="1:14" s="5" customFormat="1" ht="27.75" customHeight="1" hidden="1" thickBot="1">
      <c r="A54" s="301" t="s">
        <v>416</v>
      </c>
      <c r="B54" s="441"/>
      <c r="C54" s="457" t="s">
        <v>334</v>
      </c>
      <c r="D54" s="463" t="s">
        <v>334</v>
      </c>
      <c r="E54" s="463" t="s">
        <v>334</v>
      </c>
      <c r="F54" s="463" t="s">
        <v>334</v>
      </c>
      <c r="G54" s="600">
        <f>G49+G50+G51+G52+G53</f>
        <v>0</v>
      </c>
      <c r="H54" s="267"/>
      <c r="I54" s="80"/>
      <c r="J54" s="80">
        <f>SUM(J47:J53)</f>
        <v>1371.0900000000001</v>
      </c>
      <c r="K54" s="244">
        <f>SUM(K49:K53)</f>
        <v>0</v>
      </c>
      <c r="L54" s="245">
        <f>SUM(L49:L53)</f>
        <v>0</v>
      </c>
      <c r="M54" s="178">
        <f t="shared" si="1"/>
        <v>0</v>
      </c>
      <c r="N54"/>
    </row>
    <row r="55" spans="1:14" s="21" customFormat="1" ht="15" customHeight="1" thickBot="1">
      <c r="A55" s="452" t="str">
        <f>'спец инв'!A96</f>
        <v>Мыло хозяйственное</v>
      </c>
      <c r="B55" s="448"/>
      <c r="C55" s="621" t="s">
        <v>334</v>
      </c>
      <c r="D55" s="431" t="s">
        <v>334</v>
      </c>
      <c r="E55" s="431" t="s">
        <v>334</v>
      </c>
      <c r="F55" s="219" t="s">
        <v>334</v>
      </c>
      <c r="G55" s="601">
        <f>'спец инв'!K96</f>
        <v>594</v>
      </c>
      <c r="H55" s="349"/>
      <c r="I55" s="347"/>
      <c r="J55" s="347"/>
      <c r="K55" s="348"/>
      <c r="L55" s="350"/>
      <c r="M55" s="351"/>
      <c r="N55" s="352"/>
    </row>
    <row r="56" spans="1:14" s="21" customFormat="1" ht="15" customHeight="1" thickBot="1">
      <c r="A56" s="453" t="str">
        <f>'спец инв'!A97</f>
        <v>Эл/лампочки</v>
      </c>
      <c r="B56" s="449"/>
      <c r="C56" s="621" t="s">
        <v>334</v>
      </c>
      <c r="D56" s="431" t="s">
        <v>334</v>
      </c>
      <c r="E56" s="431" t="s">
        <v>334</v>
      </c>
      <c r="F56" s="247" t="s">
        <v>334</v>
      </c>
      <c r="G56" s="589">
        <f>'спец инв'!K97</f>
        <v>44200</v>
      </c>
      <c r="H56" s="349"/>
      <c r="I56" s="347"/>
      <c r="J56" s="347"/>
      <c r="K56" s="348"/>
      <c r="L56" s="350"/>
      <c r="M56" s="351"/>
      <c r="N56" s="352"/>
    </row>
    <row r="57" spans="1:14" s="21" customFormat="1" ht="15" customHeight="1" thickBot="1">
      <c r="A57" s="426" t="str">
        <f>'спец инв'!A98</f>
        <v>Лампа над подъездом</v>
      </c>
      <c r="B57" s="450"/>
      <c r="C57" s="622" t="s">
        <v>334</v>
      </c>
      <c r="D57" s="436" t="s">
        <v>334</v>
      </c>
      <c r="E57" s="436" t="s">
        <v>334</v>
      </c>
      <c r="F57" s="219" t="s">
        <v>334</v>
      </c>
      <c r="G57" s="486">
        <f>'спец инв'!K98</f>
        <v>1200</v>
      </c>
      <c r="H57" s="349"/>
      <c r="I57" s="347"/>
      <c r="J57" s="347"/>
      <c r="K57" s="348"/>
      <c r="L57" s="350"/>
      <c r="M57" s="351"/>
      <c r="N57" s="352"/>
    </row>
    <row r="58" spans="1:14" s="21" customFormat="1" ht="15" customHeight="1" thickBot="1">
      <c r="A58" s="426"/>
      <c r="B58" s="450"/>
      <c r="C58" s="622"/>
      <c r="D58" s="436"/>
      <c r="E58" s="436"/>
      <c r="F58" s="219"/>
      <c r="G58" s="486"/>
      <c r="H58" s="349"/>
      <c r="I58" s="347"/>
      <c r="J58" s="347"/>
      <c r="K58" s="348"/>
      <c r="L58" s="350"/>
      <c r="M58" s="351"/>
      <c r="N58" s="352"/>
    </row>
    <row r="59" spans="1:14" s="21" customFormat="1" ht="29.25" customHeight="1" thickBot="1">
      <c r="A59" s="435" t="s">
        <v>417</v>
      </c>
      <c r="B59" s="445" t="s">
        <v>462</v>
      </c>
      <c r="C59" s="462" t="s">
        <v>334</v>
      </c>
      <c r="D59" s="464" t="s">
        <v>334</v>
      </c>
      <c r="E59" s="464" t="s">
        <v>334</v>
      </c>
      <c r="F59" s="464" t="s">
        <v>334</v>
      </c>
      <c r="G59" s="602">
        <f>G55+G56+G57</f>
        <v>45994</v>
      </c>
      <c r="H59" s="349"/>
      <c r="I59" s="347"/>
      <c r="J59" s="347"/>
      <c r="K59" s="348"/>
      <c r="L59" s="350"/>
      <c r="M59" s="351"/>
      <c r="N59" s="352"/>
    </row>
    <row r="60" spans="1:14" s="5" customFormat="1" ht="31.5" customHeight="1" thickBot="1">
      <c r="A60" s="362" t="s">
        <v>420</v>
      </c>
      <c r="B60" s="451"/>
      <c r="C60" s="623" t="s">
        <v>334</v>
      </c>
      <c r="D60" s="473" t="s">
        <v>334</v>
      </c>
      <c r="E60" s="473" t="s">
        <v>334</v>
      </c>
      <c r="F60" s="474" t="s">
        <v>334</v>
      </c>
      <c r="G60" s="603">
        <f>G19+G42+G54+G59</f>
        <v>645515.4629291724</v>
      </c>
      <c r="H60" s="268"/>
      <c r="I60" s="179"/>
      <c r="J60" s="179"/>
      <c r="K60" s="180" t="e">
        <f>L60/12</f>
        <v>#REF!</v>
      </c>
      <c r="L60" s="181" t="e">
        <f>L19+L42+L54</f>
        <v>#REF!</v>
      </c>
      <c r="M60" s="182" t="e">
        <f t="shared" si="1"/>
        <v>#REF!</v>
      </c>
      <c r="N60"/>
    </row>
    <row r="61" spans="1:14" s="91" customFormat="1" ht="30.75" customHeight="1" thickBot="1">
      <c r="A61" s="471" t="s">
        <v>61</v>
      </c>
      <c r="B61" s="472"/>
      <c r="C61" s="624" t="s">
        <v>334</v>
      </c>
      <c r="D61" s="475" t="s">
        <v>334</v>
      </c>
      <c r="E61" s="475" t="s">
        <v>334</v>
      </c>
      <c r="F61" s="476" t="s">
        <v>334</v>
      </c>
      <c r="G61" s="578">
        <f>G60/D7/12</f>
        <v>3.6893639296252676</v>
      </c>
      <c r="H61" s="191"/>
      <c r="I61" s="122"/>
      <c r="J61" s="190"/>
      <c r="K61" s="189" t="e">
        <f>L60/I7/12</f>
        <v>#REF!</v>
      </c>
      <c r="L61" s="192"/>
      <c r="M61" s="214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76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view="pageBreakPreview" zoomScale="60" zoomScalePageLayoutView="0" workbookViewId="0" topLeftCell="A1">
      <pane xSplit="1" ySplit="5" topLeftCell="B4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J97" sqref="J97"/>
    </sheetView>
  </sheetViews>
  <sheetFormatPr defaultColWidth="9.00390625" defaultRowHeight="12.75"/>
  <cols>
    <col min="1" max="1" width="25.50390625" style="30" customWidth="1"/>
    <col min="2" max="2" width="14.00390625" style="152" customWidth="1"/>
    <col min="3" max="3" width="7.125" style="30" bestFit="1" customWidth="1"/>
    <col min="4" max="4" width="6.50390625" style="30" bestFit="1" customWidth="1"/>
    <col min="5" max="5" width="8.875" style="30" bestFit="1" customWidth="1"/>
    <col min="6" max="6" width="8.875" style="30" customWidth="1"/>
    <col min="7" max="7" width="8.625" style="30" bestFit="1" customWidth="1"/>
    <col min="8" max="8" width="11.625" style="30" customWidth="1"/>
    <col min="9" max="9" width="9.375" style="30" customWidth="1"/>
    <col min="10" max="10" width="10.00390625" style="30" bestFit="1" customWidth="1"/>
    <col min="11" max="11" width="13.875" style="30" bestFit="1" customWidth="1"/>
    <col min="12" max="12" width="10.625" style="130" bestFit="1" customWidth="1"/>
    <col min="13" max="13" width="9.125" style="130" customWidth="1"/>
    <col min="14" max="14" width="9.125" style="131" customWidth="1"/>
    <col min="15" max="132" width="9.125" style="132" customWidth="1"/>
  </cols>
  <sheetData>
    <row r="1" spans="1:132" s="27" customFormat="1" ht="20.25" customHeight="1">
      <c r="A1" s="921" t="s">
        <v>46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127"/>
      <c r="M1" s="127"/>
      <c r="N1" s="12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</row>
    <row r="2" ht="13.5" thickBot="1">
      <c r="A2" s="127" t="s">
        <v>465</v>
      </c>
    </row>
    <row r="3" spans="1:132" s="2" customFormat="1" ht="84" customHeight="1">
      <c r="A3" s="922" t="s">
        <v>0</v>
      </c>
      <c r="B3" s="153" t="s">
        <v>113</v>
      </c>
      <c r="C3" s="917" t="s">
        <v>2</v>
      </c>
      <c r="D3" s="917"/>
      <c r="E3" s="917" t="s">
        <v>308</v>
      </c>
      <c r="F3" s="41" t="s">
        <v>421</v>
      </c>
      <c r="G3" s="123" t="s">
        <v>328</v>
      </c>
      <c r="H3" s="202" t="s">
        <v>327</v>
      </c>
      <c r="I3" s="919" t="s">
        <v>44</v>
      </c>
      <c r="J3" s="920"/>
      <c r="K3" s="202" t="s">
        <v>329</v>
      </c>
      <c r="L3" s="133"/>
      <c r="M3" s="133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</row>
    <row r="4" spans="1:132" s="2" customFormat="1" ht="53.25" thickBot="1">
      <c r="A4" s="923"/>
      <c r="B4" s="154"/>
      <c r="C4" s="500" t="s">
        <v>309</v>
      </c>
      <c r="D4" s="500" t="s">
        <v>14</v>
      </c>
      <c r="E4" s="918"/>
      <c r="F4" s="500" t="s">
        <v>429</v>
      </c>
      <c r="G4" s="501" t="s">
        <v>403</v>
      </c>
      <c r="H4" s="502" t="s">
        <v>430</v>
      </c>
      <c r="I4" s="503" t="s">
        <v>511</v>
      </c>
      <c r="J4" s="501" t="s">
        <v>431</v>
      </c>
      <c r="K4" s="502" t="s">
        <v>432</v>
      </c>
      <c r="L4" s="133"/>
      <c r="M4" s="133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</row>
    <row r="5" spans="1:132" s="28" customFormat="1" ht="14.25" customHeight="1" thickBot="1">
      <c r="A5" s="58">
        <v>1</v>
      </c>
      <c r="B5" s="518">
        <v>2</v>
      </c>
      <c r="C5" s="19">
        <v>3</v>
      </c>
      <c r="D5" s="19">
        <v>4</v>
      </c>
      <c r="E5" s="58">
        <v>5</v>
      </c>
      <c r="F5" s="19">
        <v>6</v>
      </c>
      <c r="G5" s="519">
        <v>7</v>
      </c>
      <c r="H5" s="203">
        <v>8</v>
      </c>
      <c r="I5" s="518">
        <v>9</v>
      </c>
      <c r="J5" s="519">
        <v>10</v>
      </c>
      <c r="K5" s="203">
        <v>11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</row>
    <row r="6" spans="1:132" s="28" customFormat="1" ht="14.25" customHeight="1">
      <c r="A6" s="517" t="s">
        <v>6</v>
      </c>
      <c r="B6" s="499"/>
      <c r="C6" s="14"/>
      <c r="D6" s="14"/>
      <c r="E6" s="14"/>
      <c r="F6" s="14"/>
      <c r="G6" s="288"/>
      <c r="H6" s="292"/>
      <c r="I6" s="287"/>
      <c r="J6" s="288"/>
      <c r="K6" s="292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</row>
    <row r="7" spans="1:132" s="5" customFormat="1" ht="18" customHeight="1">
      <c r="A7" s="215" t="s">
        <v>1</v>
      </c>
      <c r="B7" s="385"/>
      <c r="C7" s="11"/>
      <c r="D7" s="11"/>
      <c r="E7" s="11"/>
      <c r="F7" s="11"/>
      <c r="G7" s="194"/>
      <c r="H7" s="20"/>
      <c r="I7" s="277">
        <f>'сан содерж'!F11</f>
        <v>2.5474305084745765</v>
      </c>
      <c r="J7" s="396"/>
      <c r="K7" s="20"/>
      <c r="L7" s="115"/>
      <c r="M7" s="115"/>
      <c r="N7" s="115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</row>
    <row r="8" spans="1:11" ht="12.75">
      <c r="A8" s="44"/>
      <c r="B8" s="155"/>
      <c r="C8" s="35"/>
      <c r="D8" s="35"/>
      <c r="E8" s="35"/>
      <c r="F8" s="35"/>
      <c r="G8" s="102"/>
      <c r="H8" s="109"/>
      <c r="I8" s="372"/>
      <c r="J8" s="397"/>
      <c r="K8" s="109"/>
    </row>
    <row r="9" spans="1:11" ht="12.75">
      <c r="A9" s="44" t="s">
        <v>22</v>
      </c>
      <c r="B9" s="155"/>
      <c r="C9" s="35">
        <v>12</v>
      </c>
      <c r="D9" s="35">
        <v>1</v>
      </c>
      <c r="E9" s="35">
        <v>12</v>
      </c>
      <c r="F9" s="35">
        <f>D9/C9*E9</f>
        <v>1</v>
      </c>
      <c r="G9" s="102">
        <v>300</v>
      </c>
      <c r="H9" s="204">
        <f>F9*G9</f>
        <v>300</v>
      </c>
      <c r="I9" s="278">
        <f>I7</f>
        <v>2.5474305084745765</v>
      </c>
      <c r="J9" s="399">
        <f>F9*I9</f>
        <v>2.5474305084745765</v>
      </c>
      <c r="K9" s="204">
        <f>H9*I9</f>
        <v>764.229152542373</v>
      </c>
    </row>
    <row r="10" spans="1:11" ht="12.75">
      <c r="A10" s="44" t="s">
        <v>17</v>
      </c>
      <c r="B10" s="155"/>
      <c r="C10" s="35">
        <v>12</v>
      </c>
      <c r="D10" s="35">
        <v>6</v>
      </c>
      <c r="E10" s="35">
        <v>12</v>
      </c>
      <c r="F10" s="35">
        <f>D10/C10*E10</f>
        <v>6</v>
      </c>
      <c r="G10" s="102">
        <v>30</v>
      </c>
      <c r="H10" s="204">
        <f>F10*G10</f>
        <v>180</v>
      </c>
      <c r="I10" s="278">
        <f>I7</f>
        <v>2.5474305084745765</v>
      </c>
      <c r="J10" s="399">
        <f>F10*I10</f>
        <v>15.28458305084746</v>
      </c>
      <c r="K10" s="204">
        <f>H10*I10</f>
        <v>458.5374915254238</v>
      </c>
    </row>
    <row r="11" spans="1:11" ht="12.75">
      <c r="A11" s="44" t="s">
        <v>15</v>
      </c>
      <c r="B11" s="155"/>
      <c r="C11" s="35">
        <v>12</v>
      </c>
      <c r="D11" s="35">
        <v>1</v>
      </c>
      <c r="E11" s="35">
        <v>12</v>
      </c>
      <c r="F11" s="35">
        <f>D11/C11*E11</f>
        <v>1</v>
      </c>
      <c r="G11" s="102">
        <v>200</v>
      </c>
      <c r="H11" s="204">
        <f>F11*G11</f>
        <v>200</v>
      </c>
      <c r="I11" s="278">
        <f>I7</f>
        <v>2.5474305084745765</v>
      </c>
      <c r="J11" s="399">
        <f>F11*I11</f>
        <v>2.5474305084745765</v>
      </c>
      <c r="K11" s="204">
        <f>H11*I11</f>
        <v>509.4861016949153</v>
      </c>
    </row>
    <row r="12" spans="1:11" ht="13.5" thickBot="1">
      <c r="A12" s="53" t="s">
        <v>16</v>
      </c>
      <c r="B12" s="156"/>
      <c r="C12" s="37">
        <v>12</v>
      </c>
      <c r="D12" s="37">
        <v>4</v>
      </c>
      <c r="E12" s="37">
        <v>12</v>
      </c>
      <c r="F12" s="37">
        <f>D12/C12*E12</f>
        <v>4</v>
      </c>
      <c r="G12" s="103">
        <v>30</v>
      </c>
      <c r="H12" s="204">
        <f>F12*G12</f>
        <v>120</v>
      </c>
      <c r="I12" s="278">
        <f>I7</f>
        <v>2.5474305084745765</v>
      </c>
      <c r="J12" s="399">
        <f>F12*I12</f>
        <v>10.189722033898306</v>
      </c>
      <c r="K12" s="204">
        <f>H12*I12</f>
        <v>305.6916610169492</v>
      </c>
    </row>
    <row r="13" spans="1:132" s="5" customFormat="1" ht="18" customHeight="1" thickBot="1">
      <c r="A13" s="49" t="s">
        <v>3</v>
      </c>
      <c r="B13" s="161"/>
      <c r="C13" s="50"/>
      <c r="D13" s="50"/>
      <c r="E13" s="50"/>
      <c r="F13" s="50"/>
      <c r="G13" s="193"/>
      <c r="H13" s="205">
        <f>SUM(H9:H12)</f>
        <v>800</v>
      </c>
      <c r="I13" s="273"/>
      <c r="J13" s="193"/>
      <c r="K13" s="205">
        <f>SUM(K9:K12)</f>
        <v>2037.9444067796612</v>
      </c>
      <c r="L13" s="115"/>
      <c r="M13" s="115"/>
      <c r="N13" s="115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</row>
    <row r="14" spans="1:11" ht="12.75">
      <c r="A14" s="51"/>
      <c r="B14" s="157"/>
      <c r="C14" s="52"/>
      <c r="D14" s="52"/>
      <c r="E14" s="52"/>
      <c r="F14" s="54"/>
      <c r="G14" s="125"/>
      <c r="H14" s="206"/>
      <c r="I14" s="274"/>
      <c r="J14" s="398"/>
      <c r="K14" s="206"/>
    </row>
    <row r="15" spans="1:132" s="5" customFormat="1" ht="18" customHeight="1">
      <c r="A15" s="60" t="s">
        <v>18</v>
      </c>
      <c r="B15" s="162"/>
      <c r="C15" s="11"/>
      <c r="D15" s="11"/>
      <c r="E15" s="35"/>
      <c r="F15" s="35"/>
      <c r="G15" s="194"/>
      <c r="H15" s="109"/>
      <c r="I15" s="277">
        <f>'сан содерж'!F33</f>
        <v>1.9835200000000004</v>
      </c>
      <c r="J15" s="396"/>
      <c r="K15" s="109"/>
      <c r="L15" s="115"/>
      <c r="M15" s="115"/>
      <c r="N15" s="115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</row>
    <row r="16" spans="1:11" ht="12.75">
      <c r="A16" s="44"/>
      <c r="B16" s="155"/>
      <c r="C16" s="35"/>
      <c r="D16" s="35"/>
      <c r="E16" s="35"/>
      <c r="F16" s="35"/>
      <c r="G16" s="102"/>
      <c r="H16" s="109"/>
      <c r="I16" s="372"/>
      <c r="J16" s="397"/>
      <c r="K16" s="109"/>
    </row>
    <row r="17" spans="1:11" ht="12.75">
      <c r="A17" s="44" t="s">
        <v>402</v>
      </c>
      <c r="B17" s="155"/>
      <c r="C17" s="35">
        <v>12</v>
      </c>
      <c r="D17" s="35">
        <v>1</v>
      </c>
      <c r="E17" s="35">
        <v>12</v>
      </c>
      <c r="F17" s="35">
        <f>D17/C17*E17</f>
        <v>1</v>
      </c>
      <c r="G17" s="102">
        <v>400</v>
      </c>
      <c r="H17" s="204">
        <f>F17*G17</f>
        <v>400</v>
      </c>
      <c r="I17" s="278">
        <f>I15</f>
        <v>1.9835200000000004</v>
      </c>
      <c r="J17" s="399">
        <f>F17*I17</f>
        <v>1.9835200000000004</v>
      </c>
      <c r="K17" s="204">
        <f>H17*I17</f>
        <v>793.4080000000001</v>
      </c>
    </row>
    <row r="18" spans="1:11" ht="12.75">
      <c r="A18" s="44" t="s">
        <v>19</v>
      </c>
      <c r="B18" s="155"/>
      <c r="C18" s="35">
        <v>12</v>
      </c>
      <c r="D18" s="35">
        <v>1</v>
      </c>
      <c r="E18" s="35">
        <v>12</v>
      </c>
      <c r="F18" s="35">
        <f>D18/C18*E18</f>
        <v>1</v>
      </c>
      <c r="G18" s="102">
        <v>100</v>
      </c>
      <c r="H18" s="204">
        <f>F18*G18</f>
        <v>100</v>
      </c>
      <c r="I18" s="278">
        <f>I15</f>
        <v>1.9835200000000004</v>
      </c>
      <c r="J18" s="399">
        <f>F18*I18</f>
        <v>1.9835200000000004</v>
      </c>
      <c r="K18" s="204">
        <f>H18*I18</f>
        <v>198.35200000000003</v>
      </c>
    </row>
    <row r="19" spans="1:11" ht="12.75">
      <c r="A19" s="44" t="s">
        <v>20</v>
      </c>
      <c r="B19" s="155"/>
      <c r="C19" s="35">
        <v>12</v>
      </c>
      <c r="D19" s="35">
        <v>6</v>
      </c>
      <c r="E19" s="35">
        <v>12</v>
      </c>
      <c r="F19" s="35">
        <f>D19/C19*E19</f>
        <v>6</v>
      </c>
      <c r="G19" s="102">
        <v>20</v>
      </c>
      <c r="H19" s="204">
        <f>F19*G19</f>
        <v>120</v>
      </c>
      <c r="I19" s="278">
        <f>I15</f>
        <v>1.9835200000000004</v>
      </c>
      <c r="J19" s="399">
        <f>F19*I19</f>
        <v>11.901120000000002</v>
      </c>
      <c r="K19" s="204">
        <f>H19*I19</f>
        <v>238.02240000000006</v>
      </c>
    </row>
    <row r="20" spans="1:11" ht="12.75">
      <c r="A20" s="44" t="s">
        <v>21</v>
      </c>
      <c r="B20" s="155"/>
      <c r="C20" s="35">
        <v>24</v>
      </c>
      <c r="D20" s="35">
        <v>1</v>
      </c>
      <c r="E20" s="35">
        <v>12</v>
      </c>
      <c r="F20" s="40">
        <f>D20/C20*E20</f>
        <v>0.5</v>
      </c>
      <c r="G20" s="102">
        <v>0</v>
      </c>
      <c r="H20" s="204">
        <f>F20*G20</f>
        <v>0</v>
      </c>
      <c r="I20" s="278">
        <f>I15</f>
        <v>1.9835200000000004</v>
      </c>
      <c r="J20" s="399">
        <f>F20*I20</f>
        <v>0.9917600000000002</v>
      </c>
      <c r="K20" s="204">
        <f>H20*I20</f>
        <v>0</v>
      </c>
    </row>
    <row r="21" spans="1:11" ht="13.5" thickBot="1">
      <c r="A21" s="53" t="s">
        <v>15</v>
      </c>
      <c r="B21" s="156"/>
      <c r="C21" s="37">
        <v>12</v>
      </c>
      <c r="D21" s="37">
        <v>1</v>
      </c>
      <c r="E21" s="37">
        <v>12</v>
      </c>
      <c r="F21" s="37">
        <f>D21/C21*E21</f>
        <v>1</v>
      </c>
      <c r="G21" s="103">
        <v>200</v>
      </c>
      <c r="H21" s="204">
        <f>F21*G21</f>
        <v>200</v>
      </c>
      <c r="I21" s="278">
        <f>I15</f>
        <v>1.9835200000000004</v>
      </c>
      <c r="J21" s="399">
        <f>F21*I21</f>
        <v>1.9835200000000004</v>
      </c>
      <c r="K21" s="204">
        <f>H21*I21</f>
        <v>396.70400000000006</v>
      </c>
    </row>
    <row r="22" spans="1:132" s="39" customFormat="1" ht="18" customHeight="1" thickBot="1">
      <c r="A22" s="49" t="s">
        <v>3</v>
      </c>
      <c r="B22" s="161"/>
      <c r="C22" s="50"/>
      <c r="D22" s="50"/>
      <c r="E22" s="50"/>
      <c r="F22" s="50"/>
      <c r="G22" s="193"/>
      <c r="H22" s="205">
        <f>SUM(H17:H21)</f>
        <v>820</v>
      </c>
      <c r="I22" s="273"/>
      <c r="J22" s="193"/>
      <c r="K22" s="205">
        <f>SUM(K17:K21)</f>
        <v>1626.4864000000002</v>
      </c>
      <c r="L22" s="137"/>
      <c r="M22" s="137"/>
      <c r="N22" s="137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</row>
    <row r="23" spans="1:11" ht="12.75">
      <c r="A23" s="51"/>
      <c r="B23" s="157"/>
      <c r="C23" s="52"/>
      <c r="D23" s="52"/>
      <c r="E23" s="52"/>
      <c r="F23" s="52"/>
      <c r="G23" s="125"/>
      <c r="H23" s="207"/>
      <c r="I23" s="275"/>
      <c r="J23" s="125"/>
      <c r="K23" s="207"/>
    </row>
    <row r="24" spans="1:132" s="4" customFormat="1" ht="26.25">
      <c r="A24" s="59" t="s">
        <v>23</v>
      </c>
      <c r="B24" s="160"/>
      <c r="C24" s="9"/>
      <c r="D24" s="9"/>
      <c r="E24" s="35"/>
      <c r="F24" s="35"/>
      <c r="G24" s="24"/>
      <c r="H24" s="109"/>
      <c r="I24" s="277">
        <f>'сан содерж'!F46</f>
        <v>0</v>
      </c>
      <c r="J24" s="400"/>
      <c r="K24" s="109"/>
      <c r="L24" s="135"/>
      <c r="M24" s="135"/>
      <c r="N24" s="135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</row>
    <row r="25" spans="1:11" ht="12.75">
      <c r="A25" s="44"/>
      <c r="B25" s="155"/>
      <c r="C25" s="35"/>
      <c r="D25" s="35"/>
      <c r="E25" s="35"/>
      <c r="F25" s="35"/>
      <c r="G25" s="102"/>
      <c r="H25" s="109"/>
      <c r="I25" s="372"/>
      <c r="J25" s="397"/>
      <c r="K25" s="109"/>
    </row>
    <row r="26" spans="1:11" ht="12.75">
      <c r="A26" s="44" t="s">
        <v>43</v>
      </c>
      <c r="B26" s="155"/>
      <c r="C26" s="35">
        <v>12</v>
      </c>
      <c r="D26" s="35">
        <v>1</v>
      </c>
      <c r="E26" s="35">
        <v>12</v>
      </c>
      <c r="F26" s="35">
        <f>D26/C26*E26</f>
        <v>1</v>
      </c>
      <c r="G26" s="102">
        <v>400</v>
      </c>
      <c r="H26" s="204">
        <f>F26*G26</f>
        <v>400</v>
      </c>
      <c r="I26" s="278">
        <f>I24</f>
        <v>0</v>
      </c>
      <c r="J26" s="399">
        <f>F26*I26</f>
        <v>0</v>
      </c>
      <c r="K26" s="204">
        <f>H26*I26</f>
        <v>0</v>
      </c>
    </row>
    <row r="27" spans="1:11" ht="12.75">
      <c r="A27" s="44" t="s">
        <v>20</v>
      </c>
      <c r="B27" s="155"/>
      <c r="C27" s="35">
        <v>12</v>
      </c>
      <c r="D27" s="35">
        <v>4</v>
      </c>
      <c r="E27" s="35">
        <v>12</v>
      </c>
      <c r="F27" s="35">
        <f>D27/C27*E27</f>
        <v>4</v>
      </c>
      <c r="G27" s="102">
        <v>37</v>
      </c>
      <c r="H27" s="204">
        <f>F27*G27</f>
        <v>148</v>
      </c>
      <c r="I27" s="278">
        <f>I24</f>
        <v>0</v>
      </c>
      <c r="J27" s="399">
        <f>F27*I27</f>
        <v>0</v>
      </c>
      <c r="K27" s="204">
        <f>H27*I27</f>
        <v>0</v>
      </c>
    </row>
    <row r="28" spans="1:11" ht="12.75">
      <c r="A28" s="44" t="s">
        <v>24</v>
      </c>
      <c r="B28" s="155"/>
      <c r="C28" s="35">
        <v>12</v>
      </c>
      <c r="D28" s="35">
        <v>1</v>
      </c>
      <c r="E28" s="35">
        <v>12</v>
      </c>
      <c r="F28" s="35">
        <f>D28/C28*E28</f>
        <v>1</v>
      </c>
      <c r="G28" s="102">
        <v>189</v>
      </c>
      <c r="H28" s="204">
        <f>F28*G28</f>
        <v>189</v>
      </c>
      <c r="I28" s="278">
        <f>I24</f>
        <v>0</v>
      </c>
      <c r="J28" s="399">
        <f>F28*I28</f>
        <v>0</v>
      </c>
      <c r="K28" s="204">
        <f>H28*I28</f>
        <v>0</v>
      </c>
    </row>
    <row r="29" spans="1:11" ht="13.5" thickBot="1">
      <c r="A29" s="53" t="s">
        <v>15</v>
      </c>
      <c r="B29" s="156"/>
      <c r="C29" s="37">
        <v>24</v>
      </c>
      <c r="D29" s="37">
        <v>1</v>
      </c>
      <c r="E29" s="37">
        <v>12</v>
      </c>
      <c r="F29" s="35">
        <f>D29/C29*E29</f>
        <v>0.5</v>
      </c>
      <c r="G29" s="103">
        <v>900</v>
      </c>
      <c r="H29" s="204">
        <f>F29*G29</f>
        <v>450</v>
      </c>
      <c r="I29" s="278">
        <f>I24</f>
        <v>0</v>
      </c>
      <c r="J29" s="399">
        <f>F29*I29</f>
        <v>0</v>
      </c>
      <c r="K29" s="204">
        <f>H29*I29</f>
        <v>0</v>
      </c>
    </row>
    <row r="30" spans="1:132" s="5" customFormat="1" ht="18" customHeight="1" thickBot="1">
      <c r="A30" s="49" t="s">
        <v>3</v>
      </c>
      <c r="B30" s="161"/>
      <c r="C30" s="50"/>
      <c r="D30" s="50"/>
      <c r="E30" s="50"/>
      <c r="F30" s="50"/>
      <c r="G30" s="193"/>
      <c r="H30" s="205">
        <f>SUM(H26:H29)</f>
        <v>1187</v>
      </c>
      <c r="I30" s="273"/>
      <c r="J30" s="193"/>
      <c r="K30" s="205">
        <f>SUM(K26:K29)</f>
        <v>0</v>
      </c>
      <c r="L30" s="115"/>
      <c r="M30" s="115"/>
      <c r="N30" s="115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</row>
    <row r="31" spans="1:11" ht="12.75">
      <c r="A31" s="51"/>
      <c r="B31" s="157"/>
      <c r="C31" s="52"/>
      <c r="D31" s="52"/>
      <c r="E31" s="52"/>
      <c r="F31" s="52"/>
      <c r="G31" s="125"/>
      <c r="H31" s="207"/>
      <c r="I31" s="275"/>
      <c r="J31" s="125"/>
      <c r="K31" s="207"/>
    </row>
    <row r="32" spans="1:11" ht="15">
      <c r="A32" s="45" t="s">
        <v>25</v>
      </c>
      <c r="B32" s="163"/>
      <c r="C32" s="35"/>
      <c r="D32" s="35"/>
      <c r="E32" s="35"/>
      <c r="F32" s="35"/>
      <c r="G32" s="102"/>
      <c r="H32" s="109"/>
      <c r="I32" s="265"/>
      <c r="J32" s="102"/>
      <c r="K32" s="109"/>
    </row>
    <row r="33" spans="1:11" ht="12.75">
      <c r="A33" s="44"/>
      <c r="B33" s="155"/>
      <c r="C33" s="35"/>
      <c r="D33" s="35"/>
      <c r="E33" s="35"/>
      <c r="F33" s="35"/>
      <c r="G33" s="102"/>
      <c r="H33" s="109"/>
      <c r="I33" s="265"/>
      <c r="J33" s="102"/>
      <c r="K33" s="109"/>
    </row>
    <row r="34" spans="1:11" ht="17.25" customHeight="1">
      <c r="A34" s="170" t="s">
        <v>1</v>
      </c>
      <c r="B34" s="155"/>
      <c r="C34" s="11"/>
      <c r="D34" s="11"/>
      <c r="E34" s="11"/>
      <c r="F34" s="35"/>
      <c r="G34" s="102"/>
      <c r="H34" s="109"/>
      <c r="I34" s="372">
        <f>'сан содерж'!F11</f>
        <v>2.5474305084745765</v>
      </c>
      <c r="J34" s="397"/>
      <c r="K34" s="109"/>
    </row>
    <row r="35" spans="1:11" ht="12.75">
      <c r="A35" s="44"/>
      <c r="B35" s="155"/>
      <c r="C35" s="35"/>
      <c r="D35" s="35"/>
      <c r="E35" s="35"/>
      <c r="F35" s="35"/>
      <c r="G35" s="102"/>
      <c r="H35" s="109"/>
      <c r="I35" s="278"/>
      <c r="J35" s="102"/>
      <c r="K35" s="109"/>
    </row>
    <row r="36" spans="1:11" ht="12.75">
      <c r="A36" s="44" t="s">
        <v>422</v>
      </c>
      <c r="B36" s="155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2">
        <v>75</v>
      </c>
      <c r="H36" s="204">
        <f aca="true" t="shared" si="1" ref="H36:H42">F36*G36</f>
        <v>900</v>
      </c>
      <c r="I36" s="278">
        <f>I34</f>
        <v>2.5474305084745765</v>
      </c>
      <c r="J36" s="399">
        <f aca="true" t="shared" si="2" ref="J36:J41">F36*I36</f>
        <v>30.56916610169492</v>
      </c>
      <c r="K36" s="204">
        <f aca="true" t="shared" si="3" ref="K36:K42">H36*I36</f>
        <v>2292.687457627119</v>
      </c>
    </row>
    <row r="37" spans="1:11" ht="12.75">
      <c r="A37" s="44" t="s">
        <v>26</v>
      </c>
      <c r="B37" s="155"/>
      <c r="C37" s="35">
        <v>12</v>
      </c>
      <c r="D37" s="35">
        <v>1</v>
      </c>
      <c r="E37" s="35">
        <v>12</v>
      </c>
      <c r="F37" s="35">
        <f t="shared" si="0"/>
        <v>1</v>
      </c>
      <c r="G37" s="102">
        <v>170</v>
      </c>
      <c r="H37" s="204">
        <f t="shared" si="1"/>
        <v>170</v>
      </c>
      <c r="I37" s="278">
        <f>I34</f>
        <v>2.5474305084745765</v>
      </c>
      <c r="J37" s="399">
        <f t="shared" si="2"/>
        <v>2.5474305084745765</v>
      </c>
      <c r="K37" s="204">
        <f t="shared" si="3"/>
        <v>433.063186440678</v>
      </c>
    </row>
    <row r="38" spans="1:11" ht="12.75" customHeight="1">
      <c r="A38" s="44" t="s">
        <v>30</v>
      </c>
      <c r="B38" s="155"/>
      <c r="C38" s="35">
        <v>12</v>
      </c>
      <c r="D38" s="35">
        <v>1</v>
      </c>
      <c r="E38" s="35">
        <v>12</v>
      </c>
      <c r="F38" s="35">
        <f t="shared" si="0"/>
        <v>1</v>
      </c>
      <c r="G38" s="102">
        <v>168</v>
      </c>
      <c r="H38" s="204">
        <f t="shared" si="1"/>
        <v>168</v>
      </c>
      <c r="I38" s="278">
        <f>I34</f>
        <v>2.5474305084745765</v>
      </c>
      <c r="J38" s="399">
        <f t="shared" si="2"/>
        <v>2.5474305084745765</v>
      </c>
      <c r="K38" s="204">
        <f t="shared" si="3"/>
        <v>427.96832542372886</v>
      </c>
    </row>
    <row r="39" spans="1:11" ht="12.75" customHeight="1">
      <c r="A39" s="44" t="s">
        <v>27</v>
      </c>
      <c r="B39" s="155"/>
      <c r="C39" s="35">
        <v>12</v>
      </c>
      <c r="D39" s="35">
        <v>1</v>
      </c>
      <c r="E39" s="35">
        <v>12</v>
      </c>
      <c r="F39" s="35">
        <f t="shared" si="0"/>
        <v>1</v>
      </c>
      <c r="G39" s="102">
        <v>90</v>
      </c>
      <c r="H39" s="204">
        <f t="shared" si="1"/>
        <v>90</v>
      </c>
      <c r="I39" s="278">
        <f>I34</f>
        <v>2.5474305084745765</v>
      </c>
      <c r="J39" s="399">
        <f t="shared" si="2"/>
        <v>2.5474305084745765</v>
      </c>
      <c r="K39" s="204">
        <f t="shared" si="3"/>
        <v>229.2687457627119</v>
      </c>
    </row>
    <row r="40" spans="1:11" ht="12.75" customHeight="1">
      <c r="A40" s="44" t="s">
        <v>28</v>
      </c>
      <c r="B40" s="155"/>
      <c r="C40" s="35">
        <v>24</v>
      </c>
      <c r="D40" s="35">
        <v>1</v>
      </c>
      <c r="E40" s="35">
        <v>12</v>
      </c>
      <c r="F40" s="35">
        <f t="shared" si="0"/>
        <v>0.5</v>
      </c>
      <c r="G40" s="102">
        <v>64</v>
      </c>
      <c r="H40" s="204">
        <f>F40*G40</f>
        <v>32</v>
      </c>
      <c r="I40" s="278">
        <f>I34</f>
        <v>2.5474305084745765</v>
      </c>
      <c r="J40" s="399">
        <f t="shared" si="2"/>
        <v>1.2737152542372883</v>
      </c>
      <c r="K40" s="204">
        <f t="shared" si="3"/>
        <v>81.51777627118645</v>
      </c>
    </row>
    <row r="41" spans="1:11" ht="12.75" customHeight="1">
      <c r="A41" s="44" t="s">
        <v>29</v>
      </c>
      <c r="B41" s="155"/>
      <c r="C41" s="37">
        <v>12</v>
      </c>
      <c r="D41" s="37">
        <v>1</v>
      </c>
      <c r="E41" s="37">
        <v>12</v>
      </c>
      <c r="F41" s="37">
        <f t="shared" si="0"/>
        <v>1</v>
      </c>
      <c r="G41" s="102">
        <v>150</v>
      </c>
      <c r="H41" s="204">
        <f t="shared" si="1"/>
        <v>150</v>
      </c>
      <c r="I41" s="278">
        <f>I34</f>
        <v>2.5474305084745765</v>
      </c>
      <c r="J41" s="399">
        <f t="shared" si="2"/>
        <v>2.5474305084745765</v>
      </c>
      <c r="K41" s="204">
        <f t="shared" si="3"/>
        <v>382.1145762711865</v>
      </c>
    </row>
    <row r="42" spans="1:132" s="1" customFormat="1" ht="13.5" thickBot="1">
      <c r="A42" s="47" t="s">
        <v>142</v>
      </c>
      <c r="B42" s="303"/>
      <c r="C42" s="366">
        <v>12</v>
      </c>
      <c r="D42" s="366">
        <v>1</v>
      </c>
      <c r="E42" s="366">
        <v>12</v>
      </c>
      <c r="F42" s="371">
        <f>D42/C42*E42</f>
        <v>1</v>
      </c>
      <c r="G42" s="124">
        <v>50</v>
      </c>
      <c r="H42" s="204">
        <f t="shared" si="1"/>
        <v>50</v>
      </c>
      <c r="I42" s="272">
        <f>I34</f>
        <v>2.5474305084745765</v>
      </c>
      <c r="J42" s="399">
        <f>F42*I42</f>
        <v>2.5474305084745765</v>
      </c>
      <c r="K42" s="204">
        <f t="shared" si="3"/>
        <v>127.37152542372883</v>
      </c>
      <c r="L42" s="133"/>
      <c r="M42" s="133"/>
      <c r="N42" s="134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</row>
    <row r="43" spans="1:132" s="5" customFormat="1" ht="19.5" customHeight="1" thickBot="1">
      <c r="A43" s="55" t="s">
        <v>3</v>
      </c>
      <c r="B43" s="164"/>
      <c r="C43" s="38"/>
      <c r="D43" s="38"/>
      <c r="E43" s="38"/>
      <c r="F43" s="370"/>
      <c r="G43" s="196"/>
      <c r="H43" s="208">
        <f>SUM(H36:H42)</f>
        <v>1560</v>
      </c>
      <c r="I43" s="276"/>
      <c r="J43" s="196"/>
      <c r="K43" s="208">
        <f>SUM(K36:K42)</f>
        <v>3973.9915932203394</v>
      </c>
      <c r="L43" s="115"/>
      <c r="M43" s="115"/>
      <c r="N43" s="11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</row>
    <row r="44" spans="1:11" ht="39" customHeight="1">
      <c r="A44" s="488" t="s">
        <v>143</v>
      </c>
      <c r="B44" s="499" t="s">
        <v>438</v>
      </c>
      <c r="C44" s="653">
        <v>100</v>
      </c>
      <c r="D44" s="653">
        <v>0.2</v>
      </c>
      <c r="E44" s="653">
        <v>24</v>
      </c>
      <c r="F44" s="654">
        <f>D44/C44*E44</f>
        <v>0.048</v>
      </c>
      <c r="G44" s="125">
        <v>60</v>
      </c>
      <c r="H44" s="207">
        <f>F44*G44</f>
        <v>2.88</v>
      </c>
      <c r="I44" s="275">
        <f>'Исход дан'!D14</f>
        <v>461.0999999999999</v>
      </c>
      <c r="J44" s="628">
        <f>I44*F44</f>
        <v>22.132799999999996</v>
      </c>
      <c r="K44" s="207">
        <f>H44*I44</f>
        <v>1327.9679999999996</v>
      </c>
    </row>
    <row r="45" spans="1:11" ht="18.75" customHeight="1">
      <c r="A45" s="304" t="s">
        <v>467</v>
      </c>
      <c r="B45" s="305"/>
      <c r="C45" s="56"/>
      <c r="D45" s="56"/>
      <c r="E45" s="56"/>
      <c r="F45" s="52"/>
      <c r="G45" s="125"/>
      <c r="H45" s="206"/>
      <c r="I45" s="306">
        <f>'сан содерж'!F33</f>
        <v>1.9835200000000004</v>
      </c>
      <c r="J45" s="401"/>
      <c r="K45" s="206"/>
    </row>
    <row r="46" spans="1:11" ht="12.75">
      <c r="A46" s="44"/>
      <c r="B46" s="155"/>
      <c r="C46" s="35"/>
      <c r="D46" s="35"/>
      <c r="E46" s="35"/>
      <c r="F46" s="35"/>
      <c r="G46" s="102"/>
      <c r="H46" s="109"/>
      <c r="I46" s="372"/>
      <c r="J46" s="397"/>
      <c r="K46" s="109"/>
    </row>
    <row r="47" spans="1:11" ht="12.75">
      <c r="A47" s="44" t="s">
        <v>32</v>
      </c>
      <c r="B47" s="155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2">
        <v>88</v>
      </c>
      <c r="H47" s="207">
        <f aca="true" t="shared" si="5" ref="H47:H55">F47*G47</f>
        <v>2823.333333333333</v>
      </c>
      <c r="I47" s="278">
        <f>I45</f>
        <v>1.9835200000000004</v>
      </c>
      <c r="J47" s="399">
        <f aca="true" t="shared" si="6" ref="J47:J55">F47*I47</f>
        <v>63.637933333333336</v>
      </c>
      <c r="K47" s="204">
        <f aca="true" t="shared" si="7" ref="K47:K55">H47*I47</f>
        <v>5600.138133333334</v>
      </c>
    </row>
    <row r="48" spans="1:11" ht="12.75">
      <c r="A48" s="44" t="s">
        <v>154</v>
      </c>
      <c r="B48" s="155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2">
        <v>500</v>
      </c>
      <c r="H48" s="207">
        <f t="shared" si="5"/>
        <v>45.83333333333333</v>
      </c>
      <c r="I48" s="278">
        <f>I45</f>
        <v>1.9835200000000004</v>
      </c>
      <c r="J48" s="399">
        <f t="shared" si="6"/>
        <v>0.1818226666666667</v>
      </c>
      <c r="K48" s="204">
        <f t="shared" si="7"/>
        <v>90.91133333333335</v>
      </c>
    </row>
    <row r="49" spans="1:11" ht="12.75">
      <c r="A49" s="44" t="s">
        <v>33</v>
      </c>
      <c r="B49" s="155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2">
        <v>200</v>
      </c>
      <c r="H49" s="207">
        <f t="shared" si="5"/>
        <v>18.333333333333332</v>
      </c>
      <c r="I49" s="278">
        <f>I45</f>
        <v>1.9835200000000004</v>
      </c>
      <c r="J49" s="399">
        <f t="shared" si="6"/>
        <v>0.1818226666666667</v>
      </c>
      <c r="K49" s="204">
        <f t="shared" si="7"/>
        <v>36.36453333333334</v>
      </c>
    </row>
    <row r="50" spans="1:11" ht="12.75">
      <c r="A50" s="44" t="s">
        <v>34</v>
      </c>
      <c r="B50" s="155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2">
        <v>250</v>
      </c>
      <c r="H50" s="207">
        <f t="shared" si="5"/>
        <v>57.291666666666664</v>
      </c>
      <c r="I50" s="278">
        <f>I45</f>
        <v>1.9835200000000004</v>
      </c>
      <c r="J50" s="399">
        <f t="shared" si="6"/>
        <v>0.4545566666666667</v>
      </c>
      <c r="K50" s="204">
        <f t="shared" si="7"/>
        <v>113.63916666666668</v>
      </c>
    </row>
    <row r="51" spans="1:11" ht="12.75">
      <c r="A51" s="44" t="s">
        <v>35</v>
      </c>
      <c r="B51" s="155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2">
        <v>300</v>
      </c>
      <c r="H51" s="207">
        <f t="shared" si="5"/>
        <v>68.75</v>
      </c>
      <c r="I51" s="278">
        <f>I45</f>
        <v>1.9835200000000004</v>
      </c>
      <c r="J51" s="399">
        <f t="shared" si="6"/>
        <v>0.4545566666666667</v>
      </c>
      <c r="K51" s="204">
        <f t="shared" si="7"/>
        <v>136.36700000000002</v>
      </c>
    </row>
    <row r="52" spans="1:11" ht="12.75">
      <c r="A52" s="44" t="s">
        <v>466</v>
      </c>
      <c r="B52" s="155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2"/>
      <c r="H52" s="207">
        <f t="shared" si="5"/>
        <v>0</v>
      </c>
      <c r="I52" s="278">
        <f>I45</f>
        <v>1.9835200000000004</v>
      </c>
      <c r="J52" s="399">
        <f t="shared" si="6"/>
        <v>0.9091133333333334</v>
      </c>
      <c r="K52" s="204">
        <f t="shared" si="7"/>
        <v>0</v>
      </c>
    </row>
    <row r="53" spans="1:11" ht="12.75">
      <c r="A53" s="44" t="s">
        <v>37</v>
      </c>
      <c r="B53" s="155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2">
        <v>1200</v>
      </c>
      <c r="H53" s="207">
        <f t="shared" si="5"/>
        <v>275</v>
      </c>
      <c r="I53" s="278">
        <f>I45</f>
        <v>1.9835200000000004</v>
      </c>
      <c r="J53" s="399">
        <f t="shared" si="6"/>
        <v>0.4545566666666667</v>
      </c>
      <c r="K53" s="204">
        <f t="shared" si="7"/>
        <v>545.4680000000001</v>
      </c>
    </row>
    <row r="54" spans="1:11" ht="12.75">
      <c r="A54" s="44" t="s">
        <v>36</v>
      </c>
      <c r="B54" s="155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2">
        <v>250</v>
      </c>
      <c r="H54" s="207">
        <f t="shared" si="5"/>
        <v>114.58333333333333</v>
      </c>
      <c r="I54" s="278">
        <f>I45</f>
        <v>1.9835200000000004</v>
      </c>
      <c r="J54" s="399">
        <f t="shared" si="6"/>
        <v>0.9091133333333334</v>
      </c>
      <c r="K54" s="204">
        <f t="shared" si="7"/>
        <v>227.27833333333336</v>
      </c>
    </row>
    <row r="55" spans="1:11" ht="13.5" thickBot="1">
      <c r="A55" s="44" t="s">
        <v>38</v>
      </c>
      <c r="B55" s="155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2">
        <v>50</v>
      </c>
      <c r="H55" s="207">
        <f t="shared" si="5"/>
        <v>11.458333333333332</v>
      </c>
      <c r="I55" s="278">
        <f>I45</f>
        <v>1.9835200000000004</v>
      </c>
      <c r="J55" s="399">
        <f t="shared" si="6"/>
        <v>0.4545566666666667</v>
      </c>
      <c r="K55" s="204">
        <f t="shared" si="7"/>
        <v>22.727833333333336</v>
      </c>
    </row>
    <row r="56" spans="1:132" s="39" customFormat="1" ht="15.75" customHeight="1" thickBot="1">
      <c r="A56" s="373" t="s">
        <v>191</v>
      </c>
      <c r="B56" s="374"/>
      <c r="C56" s="375"/>
      <c r="D56" s="375"/>
      <c r="E56" s="375"/>
      <c r="F56" s="375"/>
      <c r="G56" s="376"/>
      <c r="H56" s="377">
        <f>SUM(H47:H55)</f>
        <v>3414.5833333333335</v>
      </c>
      <c r="I56" s="378"/>
      <c r="J56" s="376"/>
      <c r="K56" s="377">
        <f>SUM(K47:K55)</f>
        <v>6772.8943333333345</v>
      </c>
      <c r="L56" s="137"/>
      <c r="M56" s="137"/>
      <c r="N56" s="137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</row>
    <row r="57" spans="1:11" ht="12.75">
      <c r="A57" s="51"/>
      <c r="B57" s="157"/>
      <c r="C57" s="52"/>
      <c r="D57" s="52"/>
      <c r="E57" s="52"/>
      <c r="F57" s="52"/>
      <c r="G57" s="125"/>
      <c r="H57" s="206"/>
      <c r="I57" s="275"/>
      <c r="J57" s="125"/>
      <c r="K57" s="206"/>
    </row>
    <row r="58" spans="1:11" ht="18" customHeight="1">
      <c r="A58" s="60" t="s">
        <v>468</v>
      </c>
      <c r="B58" s="169"/>
      <c r="C58" s="35"/>
      <c r="D58" s="35"/>
      <c r="E58" s="35"/>
      <c r="F58" s="35"/>
      <c r="G58" s="102"/>
      <c r="H58" s="109"/>
      <c r="I58" s="277">
        <f>'сан содерж'!F33</f>
        <v>1.9835200000000004</v>
      </c>
      <c r="J58" s="402"/>
      <c r="K58" s="109"/>
    </row>
    <row r="59" spans="1:11" ht="12.75">
      <c r="A59" s="43"/>
      <c r="B59" s="155"/>
      <c r="C59" s="35"/>
      <c r="D59" s="35"/>
      <c r="E59" s="35"/>
      <c r="F59" s="35"/>
      <c r="G59" s="102"/>
      <c r="H59" s="109"/>
      <c r="I59" s="372"/>
      <c r="J59" s="397"/>
      <c r="K59" s="109"/>
    </row>
    <row r="60" spans="1:132" s="31" customFormat="1" ht="12.75">
      <c r="A60" s="46" t="s">
        <v>27</v>
      </c>
      <c r="B60" s="155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1">
        <v>121</v>
      </c>
      <c r="H60" s="207">
        <f aca="true" t="shared" si="9" ref="H60:H67">F60*G60</f>
        <v>21.84722222222222</v>
      </c>
      <c r="I60" s="278">
        <f>I58</f>
        <v>1.9835200000000004</v>
      </c>
      <c r="J60" s="399">
        <f aca="true" t="shared" si="10" ref="J60:J68">F60*I60</f>
        <v>0.3581355555555556</v>
      </c>
      <c r="K60" s="204">
        <f aca="true" t="shared" si="11" ref="K60:K68">H60*I60</f>
        <v>43.33440222222223</v>
      </c>
      <c r="L60" s="140"/>
      <c r="M60" s="140"/>
      <c r="N60" s="140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</row>
    <row r="61" spans="1:132" s="31" customFormat="1" ht="12.75">
      <c r="A61" s="46" t="s">
        <v>39</v>
      </c>
      <c r="B61" s="155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1">
        <v>155</v>
      </c>
      <c r="H61" s="207">
        <f t="shared" si="9"/>
        <v>27.98611111111111</v>
      </c>
      <c r="I61" s="278">
        <f>I58</f>
        <v>1.9835200000000004</v>
      </c>
      <c r="J61" s="399">
        <f t="shared" si="10"/>
        <v>0.3581355555555556</v>
      </c>
      <c r="K61" s="204">
        <f t="shared" si="11"/>
        <v>55.511011111111124</v>
      </c>
      <c r="L61" s="140"/>
      <c r="M61" s="140"/>
      <c r="N61" s="140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</row>
    <row r="62" spans="1:11" ht="12.75">
      <c r="A62" s="44" t="s">
        <v>35</v>
      </c>
      <c r="B62" s="155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2">
        <v>189</v>
      </c>
      <c r="H62" s="207">
        <f t="shared" si="9"/>
        <v>102.375</v>
      </c>
      <c r="I62" s="278">
        <f>I58</f>
        <v>1.9835200000000004</v>
      </c>
      <c r="J62" s="399">
        <f t="shared" si="10"/>
        <v>1.0744066666666667</v>
      </c>
      <c r="K62" s="204">
        <f t="shared" si="11"/>
        <v>203.06286000000003</v>
      </c>
    </row>
    <row r="63" spans="1:11" ht="12.75">
      <c r="A63" s="44" t="s">
        <v>31</v>
      </c>
      <c r="B63" s="155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2">
        <v>88</v>
      </c>
      <c r="H63" s="207">
        <f t="shared" si="9"/>
        <v>2526.3333333333335</v>
      </c>
      <c r="I63" s="278">
        <f>I58</f>
        <v>1.9835200000000004</v>
      </c>
      <c r="J63" s="399">
        <f t="shared" si="10"/>
        <v>56.94355333333335</v>
      </c>
      <c r="K63" s="204">
        <f t="shared" si="11"/>
        <v>5011.0326933333345</v>
      </c>
    </row>
    <row r="64" spans="1:11" ht="12.75">
      <c r="A64" s="44" t="s">
        <v>40</v>
      </c>
      <c r="B64" s="155" t="s">
        <v>144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2">
        <v>20</v>
      </c>
      <c r="H64" s="207">
        <f t="shared" si="9"/>
        <v>2860</v>
      </c>
      <c r="I64" s="278">
        <f>I58</f>
        <v>1.9835200000000004</v>
      </c>
      <c r="J64" s="399">
        <f t="shared" si="10"/>
        <v>283.64336000000003</v>
      </c>
      <c r="K64" s="204">
        <f t="shared" si="11"/>
        <v>5672.8672000000015</v>
      </c>
    </row>
    <row r="65" spans="1:11" ht="12.75">
      <c r="A65" s="44" t="s">
        <v>37</v>
      </c>
      <c r="B65" s="155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2">
        <v>0</v>
      </c>
      <c r="H65" s="207">
        <f t="shared" si="9"/>
        <v>0</v>
      </c>
      <c r="I65" s="278">
        <f>I58</f>
        <v>1.9835200000000004</v>
      </c>
      <c r="J65" s="399">
        <f t="shared" si="10"/>
        <v>0.5372033333333334</v>
      </c>
      <c r="K65" s="204">
        <f t="shared" si="11"/>
        <v>0</v>
      </c>
    </row>
    <row r="66" spans="1:11" ht="12.75">
      <c r="A66" s="44" t="s">
        <v>26</v>
      </c>
      <c r="B66" s="155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2">
        <v>150</v>
      </c>
      <c r="H66" s="207">
        <f t="shared" si="9"/>
        <v>325</v>
      </c>
      <c r="I66" s="278">
        <f>I58</f>
        <v>1.9835200000000004</v>
      </c>
      <c r="J66" s="399">
        <f t="shared" si="10"/>
        <v>4.297626666666667</v>
      </c>
      <c r="K66" s="204">
        <f t="shared" si="11"/>
        <v>644.6440000000001</v>
      </c>
    </row>
    <row r="67" spans="1:132" s="31" customFormat="1" ht="12.75">
      <c r="A67" s="46" t="s">
        <v>29</v>
      </c>
      <c r="B67" s="155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1">
        <v>150</v>
      </c>
      <c r="H67" s="207">
        <f t="shared" si="9"/>
        <v>81.25</v>
      </c>
      <c r="I67" s="278">
        <f>I58</f>
        <v>1.9835200000000004</v>
      </c>
      <c r="J67" s="399">
        <f t="shared" si="10"/>
        <v>1.0744066666666667</v>
      </c>
      <c r="K67" s="204">
        <f t="shared" si="11"/>
        <v>161.16100000000003</v>
      </c>
      <c r="L67" s="140"/>
      <c r="M67" s="140"/>
      <c r="N67" s="140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</row>
    <row r="68" spans="1:132" s="31" customFormat="1" ht="13.5" thickBot="1">
      <c r="A68" s="243" t="s">
        <v>41</v>
      </c>
      <c r="B68" s="156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7">
        <v>560</v>
      </c>
      <c r="H68" s="207">
        <f>F68*G68</f>
        <v>101.11111111111111</v>
      </c>
      <c r="I68" s="272">
        <f>I58</f>
        <v>1.9835200000000004</v>
      </c>
      <c r="J68" s="399">
        <f t="shared" si="10"/>
        <v>0.3581355555555556</v>
      </c>
      <c r="K68" s="204">
        <f t="shared" si="11"/>
        <v>200.55591111111116</v>
      </c>
      <c r="L68" s="140"/>
      <c r="M68" s="140"/>
      <c r="N68" s="140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</row>
    <row r="69" spans="1:132" s="5" customFormat="1" ht="15.75" customHeight="1" thickBot="1">
      <c r="A69" s="384" t="s">
        <v>190</v>
      </c>
      <c r="B69" s="379"/>
      <c r="C69" s="353"/>
      <c r="D69" s="353"/>
      <c r="E69" s="353"/>
      <c r="F69" s="380"/>
      <c r="G69" s="381"/>
      <c r="H69" s="382">
        <f>SUM(H60:H68)</f>
        <v>6045.902777777778</v>
      </c>
      <c r="I69" s="383"/>
      <c r="J69" s="404"/>
      <c r="K69" s="382">
        <f>SUM(K60:K68)</f>
        <v>11992.16907777778</v>
      </c>
      <c r="L69" s="115"/>
      <c r="M69" s="115"/>
      <c r="N69" s="115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</row>
    <row r="70" spans="1:132" s="39" customFormat="1" ht="15.75" customHeight="1">
      <c r="A70" s="387" t="s">
        <v>45</v>
      </c>
      <c r="B70" s="388"/>
      <c r="C70" s="386"/>
      <c r="D70" s="386"/>
      <c r="E70" s="386"/>
      <c r="F70" s="389"/>
      <c r="G70" s="390"/>
      <c r="H70" s="391">
        <f>H56+H69</f>
        <v>9460.486111111111</v>
      </c>
      <c r="I70" s="392"/>
      <c r="J70" s="405"/>
      <c r="K70" s="391">
        <f>K56+K69</f>
        <v>18765.063411111114</v>
      </c>
      <c r="L70" s="137"/>
      <c r="M70" s="137"/>
      <c r="N70" s="137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</row>
    <row r="71" spans="1:132" s="4" customFormat="1" ht="33" customHeight="1">
      <c r="A71" s="9" t="s">
        <v>469</v>
      </c>
      <c r="B71" s="520" t="s">
        <v>527</v>
      </c>
      <c r="C71" s="234">
        <v>1000</v>
      </c>
      <c r="D71" s="234">
        <v>2</v>
      </c>
      <c r="E71" s="234">
        <v>30</v>
      </c>
      <c r="F71" s="40">
        <f>D71/C71*E71</f>
        <v>0.06</v>
      </c>
      <c r="G71" s="195">
        <v>350</v>
      </c>
      <c r="H71" s="420">
        <f>F71*G71</f>
        <v>21</v>
      </c>
      <c r="I71" s="421">
        <f>('сан содерж'!D22+'сан содерж'!D23+'сан содерж'!D24)/50</f>
        <v>55.82</v>
      </c>
      <c r="J71" s="422">
        <f>F71*I71</f>
        <v>3.3491999999999997</v>
      </c>
      <c r="K71" s="204">
        <f>H71*I71</f>
        <v>1172.22</v>
      </c>
      <c r="L71" s="135"/>
      <c r="M71" s="135"/>
      <c r="N71" s="135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</row>
    <row r="72" spans="1:132" s="31" customFormat="1" ht="13.5" thickBot="1">
      <c r="A72" s="78"/>
      <c r="B72" s="159"/>
      <c r="C72" s="79"/>
      <c r="D72" s="79"/>
      <c r="E72" s="79"/>
      <c r="F72" s="79"/>
      <c r="G72" s="126"/>
      <c r="H72" s="209"/>
      <c r="I72" s="279"/>
      <c r="J72" s="126"/>
      <c r="K72" s="209"/>
      <c r="L72" s="140"/>
      <c r="M72" s="140"/>
      <c r="N72" s="140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</row>
    <row r="73" spans="1:11" ht="26.25" hidden="1">
      <c r="A73" s="64" t="s">
        <v>23</v>
      </c>
      <c r="B73" s="165"/>
      <c r="C73" s="14"/>
      <c r="D73" s="14"/>
      <c r="E73" s="14"/>
      <c r="F73" s="52"/>
      <c r="G73" s="125"/>
      <c r="H73" s="206"/>
      <c r="I73" s="626">
        <f>'сан содерж'!F46</f>
        <v>0</v>
      </c>
      <c r="J73" s="406"/>
      <c r="K73" s="206"/>
    </row>
    <row r="74" spans="1:11" ht="12.75" hidden="1">
      <c r="A74" s="44"/>
      <c r="B74" s="155"/>
      <c r="C74" s="35"/>
      <c r="D74" s="35"/>
      <c r="E74" s="35"/>
      <c r="F74" s="35"/>
      <c r="G74" s="102"/>
      <c r="H74" s="109"/>
      <c r="I74" s="278"/>
      <c r="J74" s="102"/>
      <c r="K74" s="109"/>
    </row>
    <row r="75" spans="1:11" ht="12.75" hidden="1">
      <c r="A75" s="44" t="s">
        <v>27</v>
      </c>
      <c r="B75" s="155"/>
      <c r="C75" s="35">
        <v>12</v>
      </c>
      <c r="D75" s="35">
        <v>1</v>
      </c>
      <c r="E75" s="35">
        <v>12</v>
      </c>
      <c r="F75" s="35">
        <f>D75/C75*E75</f>
        <v>1</v>
      </c>
      <c r="G75" s="102">
        <v>120</v>
      </c>
      <c r="H75" s="207">
        <f>F75*G75</f>
        <v>120</v>
      </c>
      <c r="I75" s="278">
        <f>I73</f>
        <v>0</v>
      </c>
      <c r="J75" s="399">
        <f>F75*I75</f>
        <v>0</v>
      </c>
      <c r="K75" s="204">
        <f>H75*I75</f>
        <v>0</v>
      </c>
    </row>
    <row r="76" spans="1:11" ht="12.75" hidden="1">
      <c r="A76" s="44" t="s">
        <v>42</v>
      </c>
      <c r="B76" s="155"/>
      <c r="C76" s="35">
        <v>12</v>
      </c>
      <c r="D76" s="35">
        <v>6</v>
      </c>
      <c r="E76" s="35">
        <v>12</v>
      </c>
      <c r="F76" s="35">
        <f>D76/C76*E76</f>
        <v>6</v>
      </c>
      <c r="G76" s="102">
        <v>200</v>
      </c>
      <c r="H76" s="207">
        <f>F76*G76</f>
        <v>1200</v>
      </c>
      <c r="I76" s="278">
        <f>I73</f>
        <v>0</v>
      </c>
      <c r="J76" s="399">
        <f>F76*I76</f>
        <v>0</v>
      </c>
      <c r="K76" s="204">
        <f>H76*I76</f>
        <v>0</v>
      </c>
    </row>
    <row r="77" spans="1:132" s="31" customFormat="1" ht="12.75" hidden="1">
      <c r="A77" s="46" t="s">
        <v>41</v>
      </c>
      <c r="B77" s="155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1">
        <v>80</v>
      </c>
      <c r="H77" s="207">
        <f>F77*G77</f>
        <v>26.666666666666664</v>
      </c>
      <c r="I77" s="278">
        <f>I73</f>
        <v>0</v>
      </c>
      <c r="J77" s="399">
        <f>F77*I77</f>
        <v>0</v>
      </c>
      <c r="K77" s="204">
        <f>H77*I77</f>
        <v>0</v>
      </c>
      <c r="L77" s="140"/>
      <c r="M77" s="140"/>
      <c r="N77" s="140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</row>
    <row r="78" spans="1:11" ht="13.5" hidden="1" thickBot="1">
      <c r="A78" s="44" t="s">
        <v>26</v>
      </c>
      <c r="B78" s="155"/>
      <c r="C78" s="35">
        <v>12</v>
      </c>
      <c r="D78" s="35">
        <v>12</v>
      </c>
      <c r="E78" s="35">
        <v>12</v>
      </c>
      <c r="F78" s="35">
        <f>D78/C78*E78</f>
        <v>12</v>
      </c>
      <c r="G78" s="102">
        <v>177</v>
      </c>
      <c r="H78" s="207">
        <f>F78*G78</f>
        <v>2124</v>
      </c>
      <c r="I78" s="278">
        <f>I73</f>
        <v>0</v>
      </c>
      <c r="J78" s="399">
        <f>F78*I78</f>
        <v>0</v>
      </c>
      <c r="K78" s="204">
        <f>H78*I78</f>
        <v>0</v>
      </c>
    </row>
    <row r="79" spans="1:132" s="39" customFormat="1" ht="19.5" customHeight="1" hidden="1" thickBot="1">
      <c r="A79" s="49" t="s">
        <v>3</v>
      </c>
      <c r="B79" s="161"/>
      <c r="C79" s="50"/>
      <c r="D79" s="50"/>
      <c r="E79" s="50"/>
      <c r="F79" s="50"/>
      <c r="G79" s="193"/>
      <c r="H79" s="205">
        <f>SUM(H75:H78)</f>
        <v>3470.666666666667</v>
      </c>
      <c r="I79" s="273"/>
      <c r="J79" s="193"/>
      <c r="K79" s="205">
        <f>SUM(K75:K78)</f>
        <v>0</v>
      </c>
      <c r="L79" s="137"/>
      <c r="M79" s="137"/>
      <c r="N79" s="137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</row>
    <row r="80" spans="1:132" s="63" customFormat="1" ht="16.5" customHeight="1" hidden="1" thickBot="1">
      <c r="A80" s="65"/>
      <c r="B80" s="166"/>
      <c r="C80" s="66"/>
      <c r="D80" s="66"/>
      <c r="E80" s="66"/>
      <c r="F80" s="66"/>
      <c r="G80" s="198"/>
      <c r="H80" s="210"/>
      <c r="I80" s="280"/>
      <c r="J80" s="198"/>
      <c r="K80" s="210"/>
      <c r="L80" s="142"/>
      <c r="M80" s="142"/>
      <c r="N80" s="142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</row>
    <row r="81" spans="1:132" s="68" customFormat="1" ht="41.25" customHeight="1" hidden="1" thickBot="1">
      <c r="A81" s="358" t="s">
        <v>47</v>
      </c>
      <c r="B81" s="171"/>
      <c r="C81" s="67"/>
      <c r="D81" s="67"/>
      <c r="E81" s="67"/>
      <c r="F81" s="67"/>
      <c r="G81" s="199"/>
      <c r="H81" s="211"/>
      <c r="I81" s="281"/>
      <c r="J81" s="199"/>
      <c r="K81" s="211"/>
      <c r="L81" s="144"/>
      <c r="M81" s="144"/>
      <c r="N81" s="144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</row>
    <row r="82" spans="1:132" s="68" customFormat="1" ht="35.25" customHeight="1" hidden="1">
      <c r="A82" s="72" t="s">
        <v>48</v>
      </c>
      <c r="B82" s="167"/>
      <c r="C82" s="69"/>
      <c r="D82" s="69"/>
      <c r="E82" s="69"/>
      <c r="F82" s="69"/>
      <c r="G82" s="200"/>
      <c r="H82" s="527"/>
      <c r="I82" s="282"/>
      <c r="J82" s="200"/>
      <c r="K82" s="212"/>
      <c r="L82" s="144"/>
      <c r="M82" s="144"/>
      <c r="N82" s="144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</row>
    <row r="83" spans="1:132" s="1" customFormat="1" ht="30" customHeight="1" hidden="1">
      <c r="A83" s="42" t="s">
        <v>155</v>
      </c>
      <c r="B83" s="270" t="s">
        <v>433</v>
      </c>
      <c r="C83" s="23">
        <v>1</v>
      </c>
      <c r="D83" s="23">
        <v>0.02</v>
      </c>
      <c r="E83" s="23">
        <v>183</v>
      </c>
      <c r="F83" s="266">
        <f>D83/C83*E83</f>
        <v>3.66</v>
      </c>
      <c r="G83" s="195"/>
      <c r="H83" s="207">
        <f>F83*G83</f>
        <v>0</v>
      </c>
      <c r="I83" s="283">
        <f>'Исход дан'!D50</f>
        <v>4</v>
      </c>
      <c r="J83" s="399">
        <f>F83*I83</f>
        <v>14.64</v>
      </c>
      <c r="K83" s="204">
        <f>H83*I83</f>
        <v>0</v>
      </c>
      <c r="L83" s="133"/>
      <c r="M83" s="133"/>
      <c r="N83" s="134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</row>
    <row r="84" spans="1:132" s="1" customFormat="1" ht="28.5" customHeight="1" hidden="1">
      <c r="A84" s="73" t="s">
        <v>53</v>
      </c>
      <c r="B84" s="160"/>
      <c r="C84" s="271"/>
      <c r="D84" s="271"/>
      <c r="E84" s="271"/>
      <c r="F84" s="35"/>
      <c r="G84" s="195"/>
      <c r="H84" s="204"/>
      <c r="I84" s="283"/>
      <c r="J84" s="399"/>
      <c r="K84" s="204"/>
      <c r="L84" s="133"/>
      <c r="M84" s="133"/>
      <c r="N84" s="134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</row>
    <row r="85" spans="1:132" s="1" customFormat="1" ht="39" hidden="1">
      <c r="A85" s="42" t="s">
        <v>147</v>
      </c>
      <c r="B85" s="270" t="s">
        <v>310</v>
      </c>
      <c r="C85" s="23">
        <v>100</v>
      </c>
      <c r="D85" s="23">
        <v>1.5</v>
      </c>
      <c r="E85" s="23">
        <v>183</v>
      </c>
      <c r="F85" s="266">
        <f>D85/C85*E85</f>
        <v>2.745</v>
      </c>
      <c r="G85" s="195"/>
      <c r="H85" s="207">
        <f>F85*G85</f>
        <v>0</v>
      </c>
      <c r="I85" s="283">
        <f>'Исход дан'!D52</f>
        <v>0</v>
      </c>
      <c r="J85" s="399">
        <f>F85*I85</f>
        <v>0</v>
      </c>
      <c r="K85" s="204">
        <f>H85*I85</f>
        <v>0</v>
      </c>
      <c r="L85" s="133"/>
      <c r="M85" s="133"/>
      <c r="N85" s="134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</row>
    <row r="86" spans="1:132" s="1" customFormat="1" ht="26.25" hidden="1">
      <c r="A86" s="73" t="s">
        <v>54</v>
      </c>
      <c r="B86" s="160"/>
      <c r="C86" s="289"/>
      <c r="D86" s="289"/>
      <c r="E86" s="289"/>
      <c r="F86" s="71"/>
      <c r="G86" s="195"/>
      <c r="H86" s="204"/>
      <c r="I86" s="283"/>
      <c r="J86" s="399"/>
      <c r="K86" s="204"/>
      <c r="L86" s="133"/>
      <c r="M86" s="133"/>
      <c r="N86" s="134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</row>
    <row r="87" spans="1:132" s="1" customFormat="1" ht="39" hidden="1">
      <c r="A87" s="42" t="s">
        <v>55</v>
      </c>
      <c r="B87" s="270" t="s">
        <v>512</v>
      </c>
      <c r="C87" s="23">
        <v>10</v>
      </c>
      <c r="D87" s="23">
        <v>0.2</v>
      </c>
      <c r="E87" s="23">
        <v>52</v>
      </c>
      <c r="F87" s="266">
        <f>D87/C87*E87</f>
        <v>1.04</v>
      </c>
      <c r="G87" s="195"/>
      <c r="H87" s="207">
        <f>F87*G87</f>
        <v>0</v>
      </c>
      <c r="I87" s="283">
        <f>'Исход дан'!D49</f>
        <v>0</v>
      </c>
      <c r="J87" s="399">
        <f>F87*I87</f>
        <v>0</v>
      </c>
      <c r="K87" s="204">
        <f>H87*I87</f>
        <v>0</v>
      </c>
      <c r="L87" s="133"/>
      <c r="M87" s="133"/>
      <c r="N87" s="134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</row>
    <row r="88" spans="1:132" s="1" customFormat="1" ht="28.5" customHeight="1" hidden="1">
      <c r="A88" s="73" t="s">
        <v>49</v>
      </c>
      <c r="B88" s="160"/>
      <c r="C88" s="36"/>
      <c r="D88" s="36"/>
      <c r="E88" s="36"/>
      <c r="F88" s="71"/>
      <c r="G88" s="195"/>
      <c r="H88" s="204"/>
      <c r="I88" s="283"/>
      <c r="J88" s="399"/>
      <c r="K88" s="204"/>
      <c r="L88" s="133"/>
      <c r="M88" s="133"/>
      <c r="N88" s="134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</row>
    <row r="89" spans="1:132" s="1" customFormat="1" ht="39" hidden="1">
      <c r="A89" s="42" t="s">
        <v>145</v>
      </c>
      <c r="B89" s="270" t="s">
        <v>311</v>
      </c>
      <c r="C89" s="23">
        <v>100</v>
      </c>
      <c r="D89" s="23">
        <v>1.5</v>
      </c>
      <c r="E89" s="23">
        <v>12</v>
      </c>
      <c r="F89" s="266">
        <f>D89/C89*E89</f>
        <v>0.18</v>
      </c>
      <c r="G89" s="195"/>
      <c r="H89" s="207">
        <f>F89*G89</f>
        <v>0</v>
      </c>
      <c r="I89" s="283">
        <f>'Исход дан'!D51</f>
        <v>0</v>
      </c>
      <c r="J89" s="399">
        <f>F89*I89</f>
        <v>0</v>
      </c>
      <c r="K89" s="204">
        <f>H89*I89</f>
        <v>0</v>
      </c>
      <c r="L89" s="133"/>
      <c r="M89" s="133"/>
      <c r="N89" s="134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</row>
    <row r="90" spans="1:11" ht="39" hidden="1">
      <c r="A90" s="42" t="s">
        <v>146</v>
      </c>
      <c r="B90" s="270" t="s">
        <v>312</v>
      </c>
      <c r="C90" s="393">
        <v>100</v>
      </c>
      <c r="D90" s="393">
        <v>5.38</v>
      </c>
      <c r="E90" s="393">
        <v>12</v>
      </c>
      <c r="F90" s="265">
        <f>D90/C90*E90</f>
        <v>0.6456</v>
      </c>
      <c r="G90" s="102"/>
      <c r="H90" s="207">
        <f>F90*G90</f>
        <v>0</v>
      </c>
      <c r="I90" s="283">
        <f>'Исход дан'!D51</f>
        <v>0</v>
      </c>
      <c r="J90" s="399">
        <f>F90*I90</f>
        <v>0</v>
      </c>
      <c r="K90" s="204">
        <f>H90*I90</f>
        <v>0</v>
      </c>
    </row>
    <row r="91" spans="1:132" s="1" customFormat="1" ht="25.5" customHeight="1" hidden="1">
      <c r="A91" s="73" t="s">
        <v>50</v>
      </c>
      <c r="B91" s="160"/>
      <c r="C91" s="289"/>
      <c r="D91" s="289"/>
      <c r="E91" s="289"/>
      <c r="F91" s="71"/>
      <c r="G91" s="195"/>
      <c r="H91" s="204"/>
      <c r="I91" s="283"/>
      <c r="J91" s="399"/>
      <c r="K91" s="204"/>
      <c r="L91" s="133"/>
      <c r="M91" s="133"/>
      <c r="N91" s="134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</row>
    <row r="92" spans="1:132" s="1" customFormat="1" ht="39" hidden="1">
      <c r="A92" s="42" t="s">
        <v>51</v>
      </c>
      <c r="B92" s="270" t="s">
        <v>342</v>
      </c>
      <c r="C92" s="23">
        <v>10</v>
      </c>
      <c r="D92" s="23">
        <v>1.5</v>
      </c>
      <c r="E92" s="23">
        <v>12</v>
      </c>
      <c r="F92" s="266">
        <f>D92/C92*E92</f>
        <v>1.7999999999999998</v>
      </c>
      <c r="G92" s="195"/>
      <c r="H92" s="207">
        <f>F92*G92</f>
        <v>0</v>
      </c>
      <c r="I92" s="283">
        <f>'Исход дан'!D52</f>
        <v>0</v>
      </c>
      <c r="J92" s="399">
        <f>F92*I92</f>
        <v>0</v>
      </c>
      <c r="K92" s="204">
        <f>H92*I92</f>
        <v>0</v>
      </c>
      <c r="L92" s="133"/>
      <c r="M92" s="133"/>
      <c r="N92" s="134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</row>
    <row r="93" spans="1:11" ht="39" hidden="1">
      <c r="A93" s="42" t="s">
        <v>52</v>
      </c>
      <c r="B93" s="270" t="s">
        <v>313</v>
      </c>
      <c r="C93" s="393">
        <v>10</v>
      </c>
      <c r="D93" s="393">
        <v>5.38</v>
      </c>
      <c r="E93" s="393">
        <v>12</v>
      </c>
      <c r="F93" s="266">
        <f>D93/C93*E93</f>
        <v>6.456</v>
      </c>
      <c r="G93" s="102"/>
      <c r="H93" s="207">
        <f>F93*G93</f>
        <v>0</v>
      </c>
      <c r="I93" s="283">
        <f>'Исход дан'!D52</f>
        <v>0</v>
      </c>
      <c r="J93" s="399">
        <f>F93*I93</f>
        <v>0</v>
      </c>
      <c r="K93" s="204">
        <f>H93*I93</f>
        <v>0</v>
      </c>
    </row>
    <row r="94" spans="1:11" ht="12.75" hidden="1">
      <c r="A94" s="47"/>
      <c r="B94" s="158"/>
      <c r="C94" s="271"/>
      <c r="D94" s="271"/>
      <c r="E94" s="271"/>
      <c r="F94" s="37"/>
      <c r="G94" s="103"/>
      <c r="H94" s="204"/>
      <c r="I94" s="269"/>
      <c r="J94" s="403"/>
      <c r="K94" s="204"/>
    </row>
    <row r="95" spans="1:132" s="4" customFormat="1" ht="26.25" hidden="1">
      <c r="A95" s="75" t="s">
        <v>423</v>
      </c>
      <c r="B95" s="168"/>
      <c r="C95" s="76"/>
      <c r="D95" s="76"/>
      <c r="E95" s="76"/>
      <c r="F95" s="57"/>
      <c r="G95" s="201"/>
      <c r="H95" s="528">
        <f>SUM(H83:H94)</f>
        <v>0</v>
      </c>
      <c r="I95" s="284"/>
      <c r="J95" s="407"/>
      <c r="K95" s="213">
        <f>SUM(K83:K94)</f>
        <v>0</v>
      </c>
      <c r="L95" s="135"/>
      <c r="M95" s="135"/>
      <c r="N95" s="135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</row>
    <row r="96" spans="1:132" s="5" customFormat="1" ht="12.75">
      <c r="A96" s="529" t="s">
        <v>404</v>
      </c>
      <c r="B96" s="158" t="s">
        <v>406</v>
      </c>
      <c r="C96" s="77">
        <v>1</v>
      </c>
      <c r="D96" s="77">
        <v>0.5</v>
      </c>
      <c r="E96" s="77">
        <v>12</v>
      </c>
      <c r="F96" s="77">
        <f>D96/C96*12</f>
        <v>6</v>
      </c>
      <c r="G96" s="197">
        <v>15</v>
      </c>
      <c r="H96" s="207">
        <f>F96*G96</f>
        <v>90</v>
      </c>
      <c r="I96" s="627">
        <v>6.6</v>
      </c>
      <c r="J96" s="530">
        <f>F96*I96</f>
        <v>39.599999999999994</v>
      </c>
      <c r="K96" s="204">
        <f>H96*I96</f>
        <v>594</v>
      </c>
      <c r="L96" s="115"/>
      <c r="M96" s="115"/>
      <c r="N96" s="115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</row>
    <row r="97" spans="1:132" s="5" customFormat="1" ht="66">
      <c r="A97" s="529" t="s">
        <v>405</v>
      </c>
      <c r="B97" s="158" t="s">
        <v>544</v>
      </c>
      <c r="C97" s="77">
        <v>1</v>
      </c>
      <c r="D97" s="77">
        <v>520</v>
      </c>
      <c r="E97" s="77">
        <v>1</v>
      </c>
      <c r="F97" s="266">
        <f>D97/C97*E97</f>
        <v>520</v>
      </c>
      <c r="G97" s="197">
        <v>85</v>
      </c>
      <c r="H97" s="207">
        <f>F97*G97</f>
        <v>44200</v>
      </c>
      <c r="I97" s="627">
        <v>1</v>
      </c>
      <c r="J97" s="530">
        <f>F97*I97</f>
        <v>520</v>
      </c>
      <c r="K97" s="579">
        <f>F97*G97</f>
        <v>44200</v>
      </c>
      <c r="L97" s="115"/>
      <c r="M97" s="115"/>
      <c r="N97" s="115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</row>
    <row r="98" spans="1:132" s="5" customFormat="1" ht="26.25">
      <c r="A98" s="150" t="s">
        <v>407</v>
      </c>
      <c r="B98" s="117" t="s">
        <v>424</v>
      </c>
      <c r="C98" s="32">
        <v>1</v>
      </c>
      <c r="D98" s="32">
        <v>4</v>
      </c>
      <c r="E98" s="32">
        <v>6</v>
      </c>
      <c r="F98" s="266">
        <f>D98*E98</f>
        <v>24</v>
      </c>
      <c r="G98" s="101">
        <v>50</v>
      </c>
      <c r="H98" s="207">
        <f>F98*G98</f>
        <v>1200</v>
      </c>
      <c r="I98" s="655">
        <v>1</v>
      </c>
      <c r="J98" s="530">
        <f>F98*I98</f>
        <v>24</v>
      </c>
      <c r="K98" s="579">
        <f>F98*G98</f>
        <v>1200</v>
      </c>
      <c r="L98" s="115"/>
      <c r="M98" s="115"/>
      <c r="N98" s="115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</row>
    <row r="99" spans="1:132" s="5" customFormat="1" ht="26.25">
      <c r="A99" s="9" t="s">
        <v>545</v>
      </c>
      <c r="B99" s="117"/>
      <c r="C99" s="32"/>
      <c r="D99" s="32"/>
      <c r="E99" s="32"/>
      <c r="F99" s="32"/>
      <c r="G99" s="101"/>
      <c r="H99" s="394"/>
      <c r="I99" s="395"/>
      <c r="J99" s="408"/>
      <c r="K99" s="394">
        <f>K96+K97+K98</f>
        <v>45994</v>
      </c>
      <c r="L99" s="115"/>
      <c r="M99" s="115"/>
      <c r="N99" s="115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</row>
    <row r="100" spans="1:132" s="5" customFormat="1" ht="12.75">
      <c r="A100" s="9"/>
      <c r="B100" s="117"/>
      <c r="C100" s="11"/>
      <c r="D100" s="11"/>
      <c r="E100" s="11"/>
      <c r="F100" s="11"/>
      <c r="G100" s="194"/>
      <c r="H100" s="394"/>
      <c r="I100" s="395"/>
      <c r="J100" s="408"/>
      <c r="K100" s="394"/>
      <c r="L100" s="115"/>
      <c r="M100" s="115"/>
      <c r="N100" s="115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</row>
    <row r="101" spans="1:132" s="74" customFormat="1" ht="32.25" customHeight="1" thickBot="1">
      <c r="A101" s="477" t="s">
        <v>56</v>
      </c>
      <c r="B101" s="478"/>
      <c r="C101" s="479"/>
      <c r="D101" s="479"/>
      <c r="E101" s="479"/>
      <c r="F101" s="479"/>
      <c r="G101" s="480"/>
      <c r="H101" s="481">
        <f>H13+H22+H30+H43+H56+H69+H79+H95</f>
        <v>17298.15277777778</v>
      </c>
      <c r="I101" s="482"/>
      <c r="J101" s="480"/>
      <c r="K101" s="481">
        <f>K13+K22+K30+K43+K56+K69+K79+K44+K71+K95+K96+K97+K98</f>
        <v>74897.67381111112</v>
      </c>
      <c r="L101" s="147"/>
      <c r="M101" s="148"/>
      <c r="N101" s="148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1">
      <selection activeCell="A7" sqref="A7:J43"/>
    </sheetView>
  </sheetViews>
  <sheetFormatPr defaultColWidth="9.00390625" defaultRowHeight="12.75"/>
  <cols>
    <col min="1" max="1" width="4.50390625" style="0" customWidth="1"/>
    <col min="2" max="2" width="16.50390625" style="0" customWidth="1"/>
    <col min="3" max="3" width="24.375" style="0" customWidth="1"/>
    <col min="4" max="4" width="9.50390625" style="0" customWidth="1"/>
    <col min="5" max="5" width="7.50390625" style="0" customWidth="1"/>
    <col min="7" max="7" width="10.50390625" style="0" customWidth="1"/>
    <col min="8" max="8" width="10.375" style="0" customWidth="1"/>
    <col min="9" max="9" width="9.875" style="0" customWidth="1"/>
    <col min="10" max="10" width="12.50390625" style="0" customWidth="1"/>
  </cols>
  <sheetData>
    <row r="1" spans="1:10" ht="33" customHeight="1">
      <c r="A1" s="6"/>
      <c r="B1" s="924" t="s">
        <v>497</v>
      </c>
      <c r="C1" s="924"/>
      <c r="D1" s="924"/>
      <c r="E1" s="924"/>
      <c r="F1" s="924"/>
      <c r="G1" s="924"/>
      <c r="H1" s="924"/>
      <c r="I1" s="924"/>
      <c r="J1" s="217"/>
    </row>
    <row r="2" spans="1:10" ht="13.5" thickBot="1">
      <c r="A2" s="3"/>
      <c r="B2" s="29" t="s">
        <v>471</v>
      </c>
      <c r="C2" s="3"/>
      <c r="D2" s="3"/>
      <c r="E2" s="3"/>
      <c r="F2" s="26"/>
      <c r="G2" s="3"/>
      <c r="H2" s="3"/>
      <c r="I2" s="26"/>
      <c r="J2" s="3"/>
    </row>
    <row r="3" spans="1:10" ht="45.75">
      <c r="A3" s="758" t="s">
        <v>108</v>
      </c>
      <c r="B3" s="41" t="s">
        <v>472</v>
      </c>
      <c r="C3" s="41" t="s">
        <v>109</v>
      </c>
      <c r="D3" s="41" t="s">
        <v>110</v>
      </c>
      <c r="E3" s="41" t="s">
        <v>110</v>
      </c>
      <c r="F3" s="41" t="s">
        <v>111</v>
      </c>
      <c r="G3" s="151" t="s">
        <v>114</v>
      </c>
      <c r="H3" s="151" t="s">
        <v>319</v>
      </c>
      <c r="I3" s="759" t="s">
        <v>275</v>
      </c>
      <c r="J3" s="760" t="s">
        <v>305</v>
      </c>
    </row>
    <row r="4" spans="1:10" ht="27" thickBot="1">
      <c r="A4" s="761"/>
      <c r="B4" s="489"/>
      <c r="C4" s="489"/>
      <c r="D4" s="762"/>
      <c r="E4" s="489" t="s">
        <v>318</v>
      </c>
      <c r="F4" s="483" t="s">
        <v>317</v>
      </c>
      <c r="G4" s="285" t="s">
        <v>316</v>
      </c>
      <c r="H4" s="286" t="s">
        <v>315</v>
      </c>
      <c r="I4" s="484" t="s">
        <v>434</v>
      </c>
      <c r="J4" s="763" t="s">
        <v>320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3">
        <v>9</v>
      </c>
      <c r="J5" s="328">
        <v>10</v>
      </c>
    </row>
    <row r="6" spans="1:13" ht="18" customHeight="1" thickBot="1">
      <c r="A6" s="487"/>
      <c r="B6" s="488"/>
      <c r="C6" s="521" t="s">
        <v>180</v>
      </c>
      <c r="D6" s="764"/>
      <c r="E6" s="488"/>
      <c r="F6" s="488"/>
      <c r="G6" s="764"/>
      <c r="H6" s="765"/>
      <c r="I6" s="766"/>
      <c r="J6" s="485">
        <f>'Исход дан'!D16</f>
        <v>14580.550000000001</v>
      </c>
      <c r="M6">
        <v>18150</v>
      </c>
    </row>
    <row r="7" spans="1:10" ht="51.75" customHeight="1">
      <c r="A7" s="42">
        <v>1</v>
      </c>
      <c r="B7" s="34" t="s">
        <v>474</v>
      </c>
      <c r="C7" s="34" t="s">
        <v>112</v>
      </c>
      <c r="D7" s="34" t="s">
        <v>166</v>
      </c>
      <c r="E7" s="219">
        <v>1</v>
      </c>
      <c r="F7" s="633">
        <f>'Исход дан'!D22</f>
        <v>1859</v>
      </c>
      <c r="G7" s="219">
        <v>1</v>
      </c>
      <c r="H7" s="427">
        <f>18150/164.25*0.012*1.302</f>
        <v>1.7264876712328767</v>
      </c>
      <c r="I7" s="233">
        <f>F7/E7*G7*H7</f>
        <v>3209.540580821918</v>
      </c>
      <c r="J7" s="580">
        <f>I7/J$6/12</f>
        <v>0.018343732922865952</v>
      </c>
    </row>
    <row r="8" spans="1:10" ht="33.75" customHeight="1">
      <c r="A8" s="42">
        <v>2</v>
      </c>
      <c r="B8" s="34" t="s">
        <v>475</v>
      </c>
      <c r="C8" s="34" t="s">
        <v>167</v>
      </c>
      <c r="D8" s="34" t="s">
        <v>166</v>
      </c>
      <c r="E8" s="219">
        <v>1</v>
      </c>
      <c r="F8" s="219">
        <f>'Исход дан'!D19</f>
        <v>2488.9</v>
      </c>
      <c r="G8" s="219">
        <v>1</v>
      </c>
      <c r="H8" s="427">
        <f>18150/164.25*0.012*1.302</f>
        <v>1.7264876712328767</v>
      </c>
      <c r="I8" s="233">
        <f aca="true" t="shared" si="0" ref="I8:I20">F8/E8*G8*H8</f>
        <v>4297.055164931507</v>
      </c>
      <c r="J8" s="580">
        <f aca="true" t="shared" si="1" ref="J8:J20">I8/J$6/12</f>
        <v>0.024559288258053286</v>
      </c>
    </row>
    <row r="9" spans="1:10" ht="33.75" customHeight="1">
      <c r="A9" s="42">
        <v>3</v>
      </c>
      <c r="B9" s="34" t="s">
        <v>476</v>
      </c>
      <c r="C9" s="34" t="s">
        <v>168</v>
      </c>
      <c r="D9" s="34" t="s">
        <v>166</v>
      </c>
      <c r="E9" s="219">
        <v>1</v>
      </c>
      <c r="F9" s="219">
        <f>'Исход дан'!D19</f>
        <v>2488.9</v>
      </c>
      <c r="G9" s="219">
        <v>1</v>
      </c>
      <c r="H9" s="427">
        <f>18150/164.25*0.08*1.302</f>
        <v>11.509917808219178</v>
      </c>
      <c r="I9" s="233">
        <f t="shared" si="0"/>
        <v>28647.034432876713</v>
      </c>
      <c r="J9" s="580">
        <f t="shared" si="1"/>
        <v>0.16372858838702192</v>
      </c>
    </row>
    <row r="10" spans="1:10" ht="43.5" customHeight="1">
      <c r="A10" s="42">
        <v>4</v>
      </c>
      <c r="B10" s="34" t="s">
        <v>477</v>
      </c>
      <c r="C10" s="34" t="s">
        <v>127</v>
      </c>
      <c r="D10" s="34" t="s">
        <v>128</v>
      </c>
      <c r="E10" s="219">
        <v>1</v>
      </c>
      <c r="F10" s="219">
        <f>'Исход дан'!D24</f>
        <v>114</v>
      </c>
      <c r="G10" s="219">
        <v>1</v>
      </c>
      <c r="H10" s="427">
        <f>M6/164.25*0.56*1.302</f>
        <v>80.56942465753426</v>
      </c>
      <c r="I10" s="233">
        <f t="shared" si="0"/>
        <v>9184.914410958905</v>
      </c>
      <c r="J10" s="580">
        <f t="shared" si="1"/>
        <v>0.05249524429781972</v>
      </c>
    </row>
    <row r="11" spans="1:10" ht="67.5" customHeight="1">
      <c r="A11" s="42">
        <v>5</v>
      </c>
      <c r="B11" s="34" t="s">
        <v>478</v>
      </c>
      <c r="C11" s="34" t="s">
        <v>118</v>
      </c>
      <c r="D11" s="34" t="s">
        <v>117</v>
      </c>
      <c r="E11" s="219">
        <v>1</v>
      </c>
      <c r="F11" s="219">
        <f>'Исход дан'!D25</f>
        <v>0</v>
      </c>
      <c r="G11" s="219">
        <v>1</v>
      </c>
      <c r="H11" s="427"/>
      <c r="I11" s="233">
        <f t="shared" si="0"/>
        <v>0</v>
      </c>
      <c r="J11" s="580">
        <f t="shared" si="1"/>
        <v>0</v>
      </c>
    </row>
    <row r="12" spans="1:10" ht="64.5" customHeight="1">
      <c r="A12" s="42">
        <v>6</v>
      </c>
      <c r="B12" s="34" t="s">
        <v>479</v>
      </c>
      <c r="C12" s="34" t="s">
        <v>148</v>
      </c>
      <c r="D12" s="34" t="s">
        <v>119</v>
      </c>
      <c r="E12" s="219">
        <v>1</v>
      </c>
      <c r="F12" s="219">
        <f>'Исход дан'!D26</f>
        <v>1020</v>
      </c>
      <c r="G12" s="219">
        <v>1</v>
      </c>
      <c r="H12" s="427"/>
      <c r="I12" s="233">
        <f t="shared" si="0"/>
        <v>0</v>
      </c>
      <c r="J12" s="580">
        <f t="shared" si="1"/>
        <v>0</v>
      </c>
    </row>
    <row r="13" spans="1:10" ht="38.25" customHeight="1">
      <c r="A13" s="42">
        <v>7</v>
      </c>
      <c r="B13" s="34" t="s">
        <v>480</v>
      </c>
      <c r="C13" s="34" t="s">
        <v>426</v>
      </c>
      <c r="D13" s="34" t="s">
        <v>119</v>
      </c>
      <c r="E13" s="219">
        <v>1</v>
      </c>
      <c r="F13" s="219">
        <f>'Исход дан'!D27</f>
        <v>702</v>
      </c>
      <c r="G13" s="219">
        <v>1</v>
      </c>
      <c r="H13" s="427">
        <f>M6/164.25*0.33*1.302</f>
        <v>47.478410958904114</v>
      </c>
      <c r="I13" s="233">
        <f t="shared" si="0"/>
        <v>33329.84449315069</v>
      </c>
      <c r="J13" s="580">
        <f t="shared" si="1"/>
        <v>0.1904926111220695</v>
      </c>
    </row>
    <row r="14" spans="1:10" ht="42" customHeight="1">
      <c r="A14" s="42">
        <v>8</v>
      </c>
      <c r="B14" s="34" t="s">
        <v>481</v>
      </c>
      <c r="C14" s="34" t="s">
        <v>503</v>
      </c>
      <c r="D14" s="34" t="s">
        <v>124</v>
      </c>
      <c r="E14" s="219">
        <v>1</v>
      </c>
      <c r="F14" s="219">
        <f>'Исход дан'!D31</f>
        <v>228</v>
      </c>
      <c r="G14" s="219">
        <v>1</v>
      </c>
      <c r="H14" s="427">
        <f>M6/164.25*0.26*1.302</f>
        <v>37.40723287671233</v>
      </c>
      <c r="I14" s="233">
        <f t="shared" si="0"/>
        <v>8528.849095890411</v>
      </c>
      <c r="J14" s="580">
        <f t="shared" si="1"/>
        <v>0.0487455839908326</v>
      </c>
    </row>
    <row r="15" spans="1:10" ht="34.5" customHeight="1">
      <c r="A15" s="42">
        <v>9</v>
      </c>
      <c r="B15" s="34" t="s">
        <v>482</v>
      </c>
      <c r="C15" s="34" t="s">
        <v>125</v>
      </c>
      <c r="D15" s="34" t="s">
        <v>126</v>
      </c>
      <c r="E15" s="219">
        <v>100</v>
      </c>
      <c r="F15" s="219">
        <f>'Исход дан'!D23</f>
        <v>86421</v>
      </c>
      <c r="G15" s="219">
        <v>1</v>
      </c>
      <c r="H15" s="427">
        <f>M6/164.25*0.87*1.302</f>
        <v>125.17035616438356</v>
      </c>
      <c r="I15" s="233">
        <f t="shared" si="0"/>
        <v>108173.47350082193</v>
      </c>
      <c r="J15" s="580">
        <f t="shared" si="1"/>
        <v>0.6182521321259139</v>
      </c>
    </row>
    <row r="16" spans="1:10" ht="46.5" customHeight="1">
      <c r="A16" s="42">
        <v>10</v>
      </c>
      <c r="B16" s="34" t="s">
        <v>483</v>
      </c>
      <c r="C16" s="34" t="s">
        <v>129</v>
      </c>
      <c r="D16" s="34" t="s">
        <v>130</v>
      </c>
      <c r="E16" s="219">
        <v>100</v>
      </c>
      <c r="F16" s="219">
        <f>'Исход дан'!D28</f>
        <v>1764</v>
      </c>
      <c r="G16" s="219">
        <v>1</v>
      </c>
      <c r="H16" s="767">
        <f>M6/164.25*7.7*1.302</f>
        <v>1107.829589041096</v>
      </c>
      <c r="I16" s="233">
        <f t="shared" si="0"/>
        <v>19542.113950684932</v>
      </c>
      <c r="J16" s="580">
        <f t="shared" si="1"/>
        <v>0.11169053951259801</v>
      </c>
    </row>
    <row r="17" spans="1:10" ht="55.5" customHeight="1">
      <c r="A17" s="42">
        <v>11</v>
      </c>
      <c r="B17" s="34" t="s">
        <v>484</v>
      </c>
      <c r="C17" s="34" t="s">
        <v>123</v>
      </c>
      <c r="D17" s="34" t="s">
        <v>122</v>
      </c>
      <c r="E17" s="219">
        <v>1</v>
      </c>
      <c r="F17" s="219">
        <f>'Исход дан'!D30</f>
        <v>40</v>
      </c>
      <c r="G17" s="219">
        <v>1</v>
      </c>
      <c r="H17" s="427">
        <f>M6/164.25*4.1*1.302</f>
        <v>589.8832876712328</v>
      </c>
      <c r="I17" s="233">
        <f t="shared" si="0"/>
        <v>23595.33150684931</v>
      </c>
      <c r="J17" s="580">
        <f t="shared" si="1"/>
        <v>0.13485620402322104</v>
      </c>
    </row>
    <row r="18" spans="1:10" ht="56.25" customHeight="1">
      <c r="A18" s="42">
        <v>12</v>
      </c>
      <c r="B18" s="34" t="s">
        <v>485</v>
      </c>
      <c r="C18" s="34" t="s">
        <v>115</v>
      </c>
      <c r="D18" s="34" t="s">
        <v>116</v>
      </c>
      <c r="E18" s="219">
        <v>1</v>
      </c>
      <c r="F18" s="219">
        <f>'Исход дан'!D29</f>
        <v>115</v>
      </c>
      <c r="G18" s="219">
        <v>2</v>
      </c>
      <c r="H18" s="427">
        <f>M6/164.25*0.58*1.302</f>
        <v>83.44690410958903</v>
      </c>
      <c r="I18" s="233">
        <f t="shared" si="0"/>
        <v>19192.787945205477</v>
      </c>
      <c r="J18" s="580">
        <f t="shared" si="1"/>
        <v>0.10969400985791274</v>
      </c>
    </row>
    <row r="19" spans="1:10" ht="29.25" customHeight="1">
      <c r="A19" s="42">
        <v>13</v>
      </c>
      <c r="B19" s="34" t="s">
        <v>486</v>
      </c>
      <c r="C19" s="34" t="s">
        <v>120</v>
      </c>
      <c r="D19" s="34" t="s">
        <v>121</v>
      </c>
      <c r="E19" s="219">
        <v>1</v>
      </c>
      <c r="F19" s="219">
        <f>'Исход дан'!D32</f>
        <v>151</v>
      </c>
      <c r="G19" s="219">
        <v>1</v>
      </c>
      <c r="H19" s="427">
        <f>18150/164.25*3.24*1.302</f>
        <v>466.1516712328767</v>
      </c>
      <c r="I19" s="233">
        <f>F19/E19*G19*H19</f>
        <v>70388.90235616438</v>
      </c>
      <c r="J19" s="580">
        <f t="shared" si="1"/>
        <v>0.4022990808312237</v>
      </c>
    </row>
    <row r="20" spans="1:10" ht="30.75" customHeight="1">
      <c r="A20" s="42">
        <v>14</v>
      </c>
      <c r="B20" s="34" t="s">
        <v>486</v>
      </c>
      <c r="C20" s="34" t="s">
        <v>149</v>
      </c>
      <c r="D20" s="34" t="s">
        <v>121</v>
      </c>
      <c r="E20" s="219">
        <v>1</v>
      </c>
      <c r="F20" s="219">
        <f>'Исход дан'!D33</f>
        <v>6</v>
      </c>
      <c r="G20" s="219">
        <v>1</v>
      </c>
      <c r="H20" s="427">
        <f>18150/164.25*3.24*1.302</f>
        <v>466.1516712328767</v>
      </c>
      <c r="I20" s="233">
        <f t="shared" si="0"/>
        <v>2796.9100273972604</v>
      </c>
      <c r="J20" s="580">
        <f t="shared" si="1"/>
        <v>0.015985393940313525</v>
      </c>
    </row>
    <row r="21" spans="1:10" ht="21.75" customHeight="1">
      <c r="A21" s="42">
        <v>15</v>
      </c>
      <c r="B21" s="34"/>
      <c r="C21" s="34" t="s">
        <v>399</v>
      </c>
      <c r="D21" s="34"/>
      <c r="E21" s="219"/>
      <c r="F21" s="219"/>
      <c r="G21" s="219"/>
      <c r="H21" s="219"/>
      <c r="I21" s="233"/>
      <c r="J21" s="580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34"/>
      <c r="I22" s="233"/>
      <c r="J22" s="486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3"/>
      <c r="J23" s="486"/>
    </row>
    <row r="24" spans="1:10" ht="26.25" customHeight="1">
      <c r="A24" s="629">
        <v>18</v>
      </c>
      <c r="B24" s="630" t="s">
        <v>493</v>
      </c>
      <c r="C24" s="630"/>
      <c r="D24" s="630"/>
      <c r="E24" s="630"/>
      <c r="F24" s="630"/>
      <c r="G24" s="630"/>
      <c r="H24" s="630"/>
      <c r="I24" s="631">
        <f>SUM(I7:I23)</f>
        <v>330886.7574657534</v>
      </c>
      <c r="J24" s="632">
        <f>I24/J6/12</f>
        <v>1.8911424092698457</v>
      </c>
    </row>
    <row r="25" spans="1:10" ht="12.75">
      <c r="A25" s="487"/>
      <c r="B25" s="488"/>
      <c r="C25" s="489"/>
      <c r="D25" s="489"/>
      <c r="E25" s="489"/>
      <c r="F25" s="489"/>
      <c r="G25" s="489"/>
      <c r="H25" s="490"/>
      <c r="I25" s="491"/>
      <c r="J25" s="486"/>
    </row>
    <row r="26" spans="1:10" ht="18" customHeight="1">
      <c r="A26" s="42"/>
      <c r="B26" s="492"/>
      <c r="C26" s="522" t="s">
        <v>473</v>
      </c>
      <c r="D26" s="34"/>
      <c r="E26" s="34"/>
      <c r="F26" s="34"/>
      <c r="G26" s="34"/>
      <c r="H26" s="34"/>
      <c r="I26" s="233"/>
      <c r="J26" s="486"/>
    </row>
    <row r="27" spans="1:10" ht="22.5" customHeight="1">
      <c r="A27" s="42"/>
      <c r="B27" s="492"/>
      <c r="C27" s="34" t="s">
        <v>131</v>
      </c>
      <c r="D27" s="34"/>
      <c r="E27" s="34"/>
      <c r="F27" s="34"/>
      <c r="G27" s="34"/>
      <c r="H27" s="34"/>
      <c r="I27" s="233"/>
      <c r="J27" s="486"/>
    </row>
    <row r="28" spans="1:10" ht="53.25" customHeight="1">
      <c r="A28" s="42">
        <v>1</v>
      </c>
      <c r="B28" s="34" t="s">
        <v>487</v>
      </c>
      <c r="C28" s="34" t="s">
        <v>274</v>
      </c>
      <c r="D28" s="34" t="s">
        <v>133</v>
      </c>
      <c r="E28" s="219">
        <v>1000</v>
      </c>
      <c r="F28" s="633">
        <f>'Исход дан'!D16</f>
        <v>14580.550000000001</v>
      </c>
      <c r="G28" s="219">
        <v>1</v>
      </c>
      <c r="H28" s="427">
        <f>M6/164.25*10*1.302</f>
        <v>1438.7397260273972</v>
      </c>
      <c r="I28" s="233">
        <f aca="true" t="shared" si="2" ref="I28:I37">F28/E28*G28*H28</f>
        <v>20977.61651232877</v>
      </c>
      <c r="J28" s="580">
        <f>I28/J$6/12</f>
        <v>0.11989497716894977</v>
      </c>
    </row>
    <row r="29" spans="1:10" ht="66" customHeight="1">
      <c r="A29" s="42">
        <v>2</v>
      </c>
      <c r="B29" s="34" t="s">
        <v>488</v>
      </c>
      <c r="C29" s="34" t="s">
        <v>352</v>
      </c>
      <c r="D29" s="34" t="s">
        <v>132</v>
      </c>
      <c r="E29" s="219">
        <v>1000</v>
      </c>
      <c r="F29" s="219">
        <f>'Исход дан'!D22</f>
        <v>1859</v>
      </c>
      <c r="G29" s="219">
        <v>7</v>
      </c>
      <c r="H29" s="427">
        <f>M6/164.25*4*1.302</f>
        <v>575.4958904109589</v>
      </c>
      <c r="I29" s="233">
        <f>F29/E29*G29*H29</f>
        <v>7488.928021917807</v>
      </c>
      <c r="J29" s="580">
        <f aca="true" t="shared" si="3" ref="J29:J38">I29/J$6/12</f>
        <v>0.04280204348668721</v>
      </c>
    </row>
    <row r="30" spans="1:10" ht="67.5" customHeight="1">
      <c r="A30" s="42">
        <v>2</v>
      </c>
      <c r="B30" s="34" t="s">
        <v>488</v>
      </c>
      <c r="C30" s="34" t="s">
        <v>353</v>
      </c>
      <c r="D30" s="34" t="s">
        <v>132</v>
      </c>
      <c r="E30" s="219">
        <v>1000</v>
      </c>
      <c r="F30" s="219">
        <f>'Исход дан'!D22</f>
        <v>1859</v>
      </c>
      <c r="G30" s="219">
        <v>1</v>
      </c>
      <c r="H30" s="427">
        <f>M6/164.25*4*1.302</f>
        <v>575.4958904109589</v>
      </c>
      <c r="I30" s="233">
        <f t="shared" si="2"/>
        <v>1069.8468602739724</v>
      </c>
      <c r="J30" s="580">
        <f t="shared" si="3"/>
        <v>0.006114577640955316</v>
      </c>
    </row>
    <row r="31" spans="1:10" ht="54" customHeight="1">
      <c r="A31" s="42">
        <v>3</v>
      </c>
      <c r="B31" s="34" t="s">
        <v>489</v>
      </c>
      <c r="C31" s="34" t="s">
        <v>470</v>
      </c>
      <c r="D31" s="34" t="s">
        <v>169</v>
      </c>
      <c r="E31" s="219">
        <v>100</v>
      </c>
      <c r="F31" s="219">
        <f>'Исход дан'!D10</f>
        <v>137</v>
      </c>
      <c r="G31" s="219">
        <v>1</v>
      </c>
      <c r="H31" s="427">
        <v>0</v>
      </c>
      <c r="I31" s="233">
        <f t="shared" si="2"/>
        <v>0</v>
      </c>
      <c r="J31" s="580">
        <f t="shared" si="3"/>
        <v>0</v>
      </c>
    </row>
    <row r="32" spans="1:10" ht="57" customHeight="1">
      <c r="A32" s="42">
        <v>4</v>
      </c>
      <c r="B32" s="34" t="s">
        <v>490</v>
      </c>
      <c r="C32" s="34" t="s">
        <v>354</v>
      </c>
      <c r="D32" s="34" t="s">
        <v>132</v>
      </c>
      <c r="E32" s="634">
        <v>1000</v>
      </c>
      <c r="F32" s="219">
        <f>'Исход дан'!D22</f>
        <v>1859</v>
      </c>
      <c r="G32" s="219">
        <v>12</v>
      </c>
      <c r="H32" s="427">
        <f>M6/164.25*4*1.302</f>
        <v>575.4958904109589</v>
      </c>
      <c r="I32" s="233">
        <f t="shared" si="2"/>
        <v>12838.16232328767</v>
      </c>
      <c r="J32" s="580">
        <f t="shared" si="3"/>
        <v>0.0733749316914638</v>
      </c>
    </row>
    <row r="33" spans="1:10" ht="40.5" customHeight="1">
      <c r="A33" s="42">
        <v>5</v>
      </c>
      <c r="B33" s="34" t="s">
        <v>490</v>
      </c>
      <c r="C33" s="34" t="s">
        <v>347</v>
      </c>
      <c r="D33" s="34" t="s">
        <v>132</v>
      </c>
      <c r="E33" s="634">
        <v>1000</v>
      </c>
      <c r="F33" s="219">
        <f>'Исход дан'!D20</f>
        <v>1260.7</v>
      </c>
      <c r="G33" s="219">
        <v>12</v>
      </c>
      <c r="H33" s="427">
        <f>18150/164.25*4*1.302</f>
        <v>575.4958904109589</v>
      </c>
      <c r="I33" s="233">
        <f t="shared" si="2"/>
        <v>8706.33202849315</v>
      </c>
      <c r="J33" s="580">
        <f t="shared" si="3"/>
        <v>0.04975996577914385</v>
      </c>
    </row>
    <row r="34" spans="1:10" ht="69" customHeight="1">
      <c r="A34" s="42">
        <v>6</v>
      </c>
      <c r="B34" s="34" t="s">
        <v>491</v>
      </c>
      <c r="C34" s="34" t="s">
        <v>134</v>
      </c>
      <c r="D34" s="34" t="s">
        <v>135</v>
      </c>
      <c r="E34" s="219">
        <v>100</v>
      </c>
      <c r="F34" s="219">
        <v>68</v>
      </c>
      <c r="G34" s="219">
        <v>4</v>
      </c>
      <c r="H34" s="427">
        <f>18150/164.25*9*1.302</f>
        <v>1294.8657534246574</v>
      </c>
      <c r="I34" s="233">
        <f t="shared" si="2"/>
        <v>3522.0348493150686</v>
      </c>
      <c r="J34" s="580">
        <f t="shared" si="3"/>
        <v>0.02012975533224666</v>
      </c>
    </row>
    <row r="35" spans="1:10" ht="66" customHeight="1">
      <c r="A35" s="42">
        <v>7</v>
      </c>
      <c r="B35" s="34" t="s">
        <v>492</v>
      </c>
      <c r="C35" s="34" t="s">
        <v>136</v>
      </c>
      <c r="D35" s="34" t="s">
        <v>137</v>
      </c>
      <c r="E35" s="219">
        <v>1</v>
      </c>
      <c r="F35" s="219">
        <f>'Исход дан'!D33</f>
        <v>6</v>
      </c>
      <c r="G35" s="219">
        <v>12</v>
      </c>
      <c r="H35" s="427">
        <f>18150/164.25*0.5*1.302</f>
        <v>71.93698630136986</v>
      </c>
      <c r="I35" s="233">
        <f t="shared" si="2"/>
        <v>5179.46301369863</v>
      </c>
      <c r="J35" s="580">
        <f t="shared" si="3"/>
        <v>0.029602581370950967</v>
      </c>
    </row>
    <row r="36" spans="1:10" ht="66.75" customHeight="1">
      <c r="A36" s="42">
        <v>8</v>
      </c>
      <c r="B36" s="34" t="s">
        <v>517</v>
      </c>
      <c r="C36" s="34" t="s">
        <v>410</v>
      </c>
      <c r="D36" s="34" t="s">
        <v>139</v>
      </c>
      <c r="E36" s="219">
        <v>1000</v>
      </c>
      <c r="F36" s="633">
        <f>'Исход дан'!D17</f>
        <v>11251.95</v>
      </c>
      <c r="G36" s="219">
        <v>4</v>
      </c>
      <c r="H36" s="427">
        <f>18150/164.25*8*1.302</f>
        <v>1150.9917808219177</v>
      </c>
      <c r="I36" s="233">
        <f t="shared" si="2"/>
        <v>51803.60787287671</v>
      </c>
      <c r="J36" s="580">
        <f t="shared" si="3"/>
        <v>0.29607712485055265</v>
      </c>
    </row>
    <row r="37" spans="1:10" ht="66" customHeight="1">
      <c r="A37" s="42">
        <v>9</v>
      </c>
      <c r="B37" s="34" t="s">
        <v>517</v>
      </c>
      <c r="C37" s="34" t="s">
        <v>138</v>
      </c>
      <c r="D37" s="34" t="s">
        <v>139</v>
      </c>
      <c r="E37" s="219">
        <v>1000</v>
      </c>
      <c r="F37" s="219">
        <f>'Исход дан'!D22</f>
        <v>1859</v>
      </c>
      <c r="G37" s="219">
        <v>4</v>
      </c>
      <c r="H37" s="427">
        <f>18150/164.25*8*1.302</f>
        <v>1150.9917808219177</v>
      </c>
      <c r="I37" s="233">
        <f t="shared" si="2"/>
        <v>8558.77488219178</v>
      </c>
      <c r="J37" s="580">
        <f t="shared" si="3"/>
        <v>0.04891662112764253</v>
      </c>
    </row>
    <row r="38" spans="1:10" ht="28.5" customHeight="1">
      <c r="A38" s="629">
        <v>10</v>
      </c>
      <c r="B38" s="630" t="s">
        <v>140</v>
      </c>
      <c r="C38" s="630"/>
      <c r="D38" s="630"/>
      <c r="E38" s="630"/>
      <c r="F38" s="630"/>
      <c r="G38" s="630"/>
      <c r="H38" s="630"/>
      <c r="I38" s="631">
        <f>SUM(I28:I37)</f>
        <v>120144.76636438355</v>
      </c>
      <c r="J38" s="632">
        <f t="shared" si="3"/>
        <v>0.6866725784485928</v>
      </c>
    </row>
    <row r="39" spans="1:10" ht="12.75">
      <c r="A39" s="487"/>
      <c r="B39" s="488"/>
      <c r="C39" s="488"/>
      <c r="D39" s="488"/>
      <c r="E39" s="488"/>
      <c r="F39" s="488"/>
      <c r="G39" s="488"/>
      <c r="H39" s="488"/>
      <c r="I39" s="493"/>
      <c r="J39" s="486"/>
    </row>
    <row r="40" spans="1:10" ht="12.75">
      <c r="A40" s="16"/>
      <c r="B40" s="9" t="s">
        <v>141</v>
      </c>
      <c r="C40" s="9"/>
      <c r="D40" s="9"/>
      <c r="E40" s="9"/>
      <c r="F40" s="9"/>
      <c r="G40" s="9"/>
      <c r="H40" s="9"/>
      <c r="I40" s="110">
        <f>I24+I38</f>
        <v>451031.523830137</v>
      </c>
      <c r="J40" s="329">
        <f>I40/J6/12</f>
        <v>2.5778149877184386</v>
      </c>
    </row>
    <row r="41" spans="1:10" ht="13.5" thickBot="1">
      <c r="A41" s="494"/>
      <c r="B41" s="495"/>
      <c r="C41" s="495"/>
      <c r="D41" s="495"/>
      <c r="E41" s="495"/>
      <c r="F41" s="495"/>
      <c r="G41" s="495"/>
      <c r="H41" s="495"/>
      <c r="I41" s="496"/>
      <c r="J41" s="497"/>
    </row>
    <row r="42" spans="1:10" ht="12.75">
      <c r="A42" s="498"/>
      <c r="B42" s="498"/>
      <c r="C42" s="498"/>
      <c r="D42" s="498"/>
      <c r="E42" s="498"/>
      <c r="F42" s="498"/>
      <c r="G42" s="498"/>
      <c r="H42" s="498"/>
      <c r="I42" s="498"/>
      <c r="J42" s="498"/>
    </row>
    <row r="43" spans="1:10" ht="25.5" customHeight="1">
      <c r="A43" s="925" t="s">
        <v>559</v>
      </c>
      <c r="B43" s="925"/>
      <c r="C43" s="925"/>
      <c r="D43" s="925"/>
      <c r="E43" s="925"/>
      <c r="F43" s="925"/>
      <c r="G43" s="925"/>
      <c r="H43" s="925"/>
      <c r="I43" s="925"/>
      <c r="J43" s="925"/>
    </row>
  </sheetData>
  <sheetProtection/>
  <mergeCells count="2">
    <mergeCell ref="B1:I1"/>
    <mergeCell ref="A43:J43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pane xSplit="2" ySplit="5" topLeftCell="C27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E36" sqref="E36"/>
    </sheetView>
  </sheetViews>
  <sheetFormatPr defaultColWidth="9.00390625" defaultRowHeight="12.75"/>
  <cols>
    <col min="1" max="1" width="3.875" style="112" customWidth="1"/>
    <col min="2" max="2" width="24.875" style="0" customWidth="1"/>
    <col min="3" max="3" width="16.00390625" style="3" customWidth="1"/>
    <col min="4" max="4" width="10.125" style="3" bestFit="1" customWidth="1"/>
    <col min="5" max="5" width="10.375" style="3" customWidth="1"/>
    <col min="6" max="6" width="9.375" style="3" bestFit="1" customWidth="1"/>
    <col min="7" max="7" width="8.00390625" style="3" customWidth="1"/>
    <col min="8" max="8" width="12.875" style="3" customWidth="1"/>
    <col min="9" max="9" width="11.375" style="3" customWidth="1"/>
    <col min="10" max="10" width="9.125" style="152" customWidth="1"/>
    <col min="11" max="11" width="9.125" style="3" hidden="1" customWidth="1"/>
    <col min="12" max="12" width="10.50390625" style="152" hidden="1" customWidth="1"/>
    <col min="13" max="13" width="16.375" style="0" hidden="1" customWidth="1"/>
    <col min="14" max="14" width="16.00390625" style="3" customWidth="1"/>
    <col min="15" max="15" width="12.00390625" style="3" customWidth="1"/>
    <col min="16" max="16" width="13.375" style="0" bestFit="1" customWidth="1"/>
  </cols>
  <sheetData>
    <row r="1" spans="2:15" ht="21" customHeight="1">
      <c r="B1" s="768" t="s">
        <v>560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</row>
    <row r="2" spans="2:15" ht="28.5" customHeight="1" thickBot="1">
      <c r="B2" s="128" t="s">
        <v>499</v>
      </c>
      <c r="H2" s="241"/>
      <c r="O2" s="411"/>
    </row>
    <row r="3" spans="1:15" s="2" customFormat="1" ht="78.75" customHeight="1">
      <c r="A3" s="769"/>
      <c r="B3" s="239" t="s">
        <v>0</v>
      </c>
      <c r="C3" s="15" t="s">
        <v>87</v>
      </c>
      <c r="D3" s="15" t="s">
        <v>153</v>
      </c>
      <c r="E3" s="15" t="s">
        <v>346</v>
      </c>
      <c r="F3" s="15" t="s">
        <v>152</v>
      </c>
      <c r="G3" s="218" t="s">
        <v>513</v>
      </c>
      <c r="H3" s="295" t="s">
        <v>324</v>
      </c>
      <c r="I3" s="770" t="s">
        <v>561</v>
      </c>
      <c r="J3" s="928" t="s">
        <v>562</v>
      </c>
      <c r="K3" s="770" t="s">
        <v>561</v>
      </c>
      <c r="L3" s="928" t="s">
        <v>562</v>
      </c>
      <c r="M3" s="218"/>
      <c r="N3" s="676"/>
      <c r="O3" s="927"/>
    </row>
    <row r="4" spans="1:15" s="2" customFormat="1" ht="28.5" customHeight="1" thickBot="1">
      <c r="A4" s="771"/>
      <c r="B4" s="291"/>
      <c r="C4" s="12"/>
      <c r="D4" s="12"/>
      <c r="E4" s="294" t="s">
        <v>316</v>
      </c>
      <c r="F4" s="294" t="s">
        <v>321</v>
      </c>
      <c r="G4" s="415" t="s">
        <v>316</v>
      </c>
      <c r="H4" s="416" t="s">
        <v>323</v>
      </c>
      <c r="I4" s="772" t="s">
        <v>563</v>
      </c>
      <c r="J4" s="929"/>
      <c r="K4" s="772" t="s">
        <v>563</v>
      </c>
      <c r="L4" s="929"/>
      <c r="M4" s="216"/>
      <c r="N4" s="676"/>
      <c r="O4" s="927"/>
    </row>
    <row r="5" spans="1:15" s="240" customFormat="1" ht="14.25" customHeight="1" thickBot="1">
      <c r="A5" s="290" t="s">
        <v>88</v>
      </c>
      <c r="B5" s="293" t="s">
        <v>188</v>
      </c>
      <c r="C5" s="293" t="s">
        <v>89</v>
      </c>
      <c r="D5" s="290" t="s">
        <v>73</v>
      </c>
      <c r="E5" s="293" t="s">
        <v>74</v>
      </c>
      <c r="F5" s="293" t="s">
        <v>75</v>
      </c>
      <c r="G5" s="417" t="s">
        <v>76</v>
      </c>
      <c r="H5" s="418" t="s">
        <v>77</v>
      </c>
      <c r="I5" s="773" t="s">
        <v>78</v>
      </c>
      <c r="J5" s="418" t="s">
        <v>79</v>
      </c>
      <c r="K5" s="773" t="s">
        <v>78</v>
      </c>
      <c r="L5" s="418" t="s">
        <v>79</v>
      </c>
      <c r="M5" s="417" t="s">
        <v>82</v>
      </c>
      <c r="N5" s="774"/>
      <c r="O5" s="677"/>
    </row>
    <row r="6" spans="1:15" s="21" customFormat="1" ht="18.75" customHeight="1">
      <c r="A6" s="769" t="s">
        <v>188</v>
      </c>
      <c r="B6" s="775" t="s">
        <v>86</v>
      </c>
      <c r="C6" s="776"/>
      <c r="D6" s="776"/>
      <c r="E6" s="777"/>
      <c r="F6" s="776"/>
      <c r="G6" s="778"/>
      <c r="H6" s="779"/>
      <c r="I6" s="780"/>
      <c r="J6" s="781"/>
      <c r="K6" s="782"/>
      <c r="L6" s="531"/>
      <c r="M6" s="532"/>
      <c r="N6" s="678"/>
      <c r="O6" s="679"/>
    </row>
    <row r="7" spans="1:15" s="786" customFormat="1" ht="32.25" customHeight="1">
      <c r="A7" s="783" t="s">
        <v>89</v>
      </c>
      <c r="B7" s="356" t="s">
        <v>177</v>
      </c>
      <c r="C7" s="533"/>
      <c r="D7" s="533"/>
      <c r="E7" s="635" t="s">
        <v>334</v>
      </c>
      <c r="F7" s="635" t="s">
        <v>334</v>
      </c>
      <c r="G7" s="635" t="s">
        <v>334</v>
      </c>
      <c r="H7" s="650">
        <f>'сан содерж'!G19</f>
        <v>300663.6603678373</v>
      </c>
      <c r="I7" s="635">
        <f>'Исход дан'!D16</f>
        <v>14580.550000000001</v>
      </c>
      <c r="J7" s="784">
        <f>H7/I7/12</f>
        <v>1.718406029309807</v>
      </c>
      <c r="K7" s="785" t="s">
        <v>334</v>
      </c>
      <c r="L7" s="533" t="s">
        <v>334</v>
      </c>
      <c r="M7" s="752" t="s">
        <v>334</v>
      </c>
      <c r="N7" s="682"/>
      <c r="O7" s="680"/>
    </row>
    <row r="8" spans="1:15" s="786" customFormat="1" ht="33" customHeight="1">
      <c r="A8" s="783" t="s">
        <v>73</v>
      </c>
      <c r="B8" s="356" t="s">
        <v>179</v>
      </c>
      <c r="C8" s="533"/>
      <c r="D8" s="533"/>
      <c r="E8" s="635" t="s">
        <v>334</v>
      </c>
      <c r="F8" s="635" t="s">
        <v>334</v>
      </c>
      <c r="G8" s="635" t="s">
        <v>334</v>
      </c>
      <c r="H8" s="562">
        <f>'сан содерж'!G42</f>
        <v>298857.80256133515</v>
      </c>
      <c r="I8" s="533">
        <f>'Исход дан'!D16</f>
        <v>14580.550000000001</v>
      </c>
      <c r="J8" s="784">
        <f aca="true" t="shared" si="0" ref="J8:J32">H8/I8/12</f>
        <v>1.708084871977481</v>
      </c>
      <c r="K8" s="785" t="s">
        <v>334</v>
      </c>
      <c r="L8" s="533" t="s">
        <v>334</v>
      </c>
      <c r="M8" s="752" t="s">
        <v>334</v>
      </c>
      <c r="N8" s="682"/>
      <c r="O8" s="680"/>
    </row>
    <row r="9" spans="1:15" s="786" customFormat="1" ht="21.75" customHeight="1">
      <c r="A9" s="783" t="s">
        <v>74</v>
      </c>
      <c r="B9" s="356" t="s">
        <v>178</v>
      </c>
      <c r="C9" s="533"/>
      <c r="D9" s="533"/>
      <c r="E9" s="635" t="s">
        <v>334</v>
      </c>
      <c r="F9" s="635" t="s">
        <v>334</v>
      </c>
      <c r="G9" s="635" t="s">
        <v>334</v>
      </c>
      <c r="H9" s="562">
        <f>'[2]сан содерж'!G54</f>
        <v>0</v>
      </c>
      <c r="I9" s="533">
        <f>'Исход дан'!D16</f>
        <v>14580.550000000001</v>
      </c>
      <c r="J9" s="784">
        <f t="shared" si="0"/>
        <v>0</v>
      </c>
      <c r="K9" s="785" t="s">
        <v>334</v>
      </c>
      <c r="L9" s="533" t="s">
        <v>334</v>
      </c>
      <c r="M9" s="752" t="s">
        <v>334</v>
      </c>
      <c r="N9" s="682"/>
      <c r="O9" s="680"/>
    </row>
    <row r="10" spans="1:15" s="786" customFormat="1" ht="40.5" customHeight="1" thickBot="1">
      <c r="A10" s="771" t="s">
        <v>75</v>
      </c>
      <c r="B10" s="409" t="s">
        <v>411</v>
      </c>
      <c r="C10" s="534"/>
      <c r="D10" s="534"/>
      <c r="E10" s="572" t="s">
        <v>334</v>
      </c>
      <c r="F10" s="572" t="s">
        <v>334</v>
      </c>
      <c r="G10" s="572" t="s">
        <v>334</v>
      </c>
      <c r="H10" s="735">
        <f>'сан содерж'!G59</f>
        <v>45994</v>
      </c>
      <c r="I10" s="534">
        <f>'Исход дан'!D16</f>
        <v>14580.550000000001</v>
      </c>
      <c r="J10" s="787">
        <f t="shared" si="0"/>
        <v>0.26287302833797993</v>
      </c>
      <c r="K10" s="785" t="s">
        <v>334</v>
      </c>
      <c r="L10" s="533" t="s">
        <v>334</v>
      </c>
      <c r="M10" s="752" t="s">
        <v>334</v>
      </c>
      <c r="N10" s="682"/>
      <c r="O10" s="680"/>
    </row>
    <row r="11" spans="1:15" s="1" customFormat="1" ht="30" customHeight="1" thickBot="1">
      <c r="A11" s="788" t="s">
        <v>76</v>
      </c>
      <c r="B11" s="789" t="s">
        <v>151</v>
      </c>
      <c r="C11" s="790"/>
      <c r="D11" s="790"/>
      <c r="E11" s="790"/>
      <c r="F11" s="790"/>
      <c r="G11" s="791"/>
      <c r="H11" s="792">
        <f>H7+H8+H10</f>
        <v>645515.4629291724</v>
      </c>
      <c r="I11" s="793">
        <f>'Исход дан'!D16</f>
        <v>14580.550000000001</v>
      </c>
      <c r="J11" s="794">
        <f t="shared" si="0"/>
        <v>3.6893639296252676</v>
      </c>
      <c r="K11" s="535"/>
      <c r="L11" s="536"/>
      <c r="M11" s="537"/>
      <c r="N11" s="682"/>
      <c r="O11" s="683"/>
    </row>
    <row r="12" spans="1:15" s="4" customFormat="1" ht="15" customHeight="1">
      <c r="A12" s="795" t="s">
        <v>77</v>
      </c>
      <c r="B12" s="538" t="s">
        <v>176</v>
      </c>
      <c r="C12" s="539"/>
      <c r="D12" s="539"/>
      <c r="E12" s="636"/>
      <c r="F12" s="637"/>
      <c r="G12" s="638"/>
      <c r="H12" s="540"/>
      <c r="I12" s="541"/>
      <c r="J12" s="796"/>
      <c r="K12" s="797"/>
      <c r="L12" s="542"/>
      <c r="M12" s="543"/>
      <c r="N12" s="682"/>
      <c r="O12" s="681"/>
    </row>
    <row r="13" spans="1:15" s="62" customFormat="1" ht="15" customHeight="1">
      <c r="A13" s="783" t="s">
        <v>78</v>
      </c>
      <c r="B13" s="545" t="s">
        <v>172</v>
      </c>
      <c r="C13" s="546" t="s">
        <v>268</v>
      </c>
      <c r="D13" s="546"/>
      <c r="E13" s="639"/>
      <c r="F13" s="640"/>
      <c r="G13" s="641"/>
      <c r="H13" s="547"/>
      <c r="I13" s="548">
        <f>'Исход дан'!D16</f>
        <v>14580.550000000001</v>
      </c>
      <c r="J13" s="784">
        <f t="shared" si="0"/>
        <v>0</v>
      </c>
      <c r="K13" s="798"/>
      <c r="L13" s="549"/>
      <c r="M13" s="550"/>
      <c r="N13" s="682"/>
      <c r="O13" s="680"/>
    </row>
    <row r="14" spans="1:15" s="62" customFormat="1" ht="15" customHeight="1">
      <c r="A14" s="783" t="s">
        <v>79</v>
      </c>
      <c r="B14" s="545" t="s">
        <v>173</v>
      </c>
      <c r="C14" s="546" t="s">
        <v>268</v>
      </c>
      <c r="D14" s="546"/>
      <c r="E14" s="639"/>
      <c r="F14" s="640"/>
      <c r="G14" s="641"/>
      <c r="H14" s="547"/>
      <c r="I14" s="548">
        <f>'Исход дан'!D16</f>
        <v>14580.550000000001</v>
      </c>
      <c r="J14" s="784">
        <f t="shared" si="0"/>
        <v>0</v>
      </c>
      <c r="K14" s="798"/>
      <c r="L14" s="549"/>
      <c r="M14" s="550"/>
      <c r="N14" s="682"/>
      <c r="O14" s="680"/>
    </row>
    <row r="15" spans="1:15" s="62" customFormat="1" ht="15" customHeight="1">
      <c r="A15" s="783" t="s">
        <v>80</v>
      </c>
      <c r="B15" s="545" t="s">
        <v>174</v>
      </c>
      <c r="C15" s="546" t="s">
        <v>268</v>
      </c>
      <c r="D15" s="546"/>
      <c r="E15" s="639"/>
      <c r="F15" s="640"/>
      <c r="G15" s="641"/>
      <c r="H15" s="547"/>
      <c r="I15" s="548">
        <f>'Исход дан'!D16</f>
        <v>14580.550000000001</v>
      </c>
      <c r="J15" s="784">
        <f t="shared" si="0"/>
        <v>0</v>
      </c>
      <c r="K15" s="798"/>
      <c r="L15" s="549"/>
      <c r="M15" s="550"/>
      <c r="N15" s="682"/>
      <c r="O15" s="680"/>
    </row>
    <row r="16" spans="1:15" s="62" customFormat="1" ht="15" customHeight="1" thickBot="1">
      <c r="A16" s="771" t="s">
        <v>81</v>
      </c>
      <c r="B16" s="736" t="s">
        <v>175</v>
      </c>
      <c r="C16" s="737" t="s">
        <v>268</v>
      </c>
      <c r="D16" s="737"/>
      <c r="E16" s="738"/>
      <c r="F16" s="648"/>
      <c r="G16" s="739"/>
      <c r="H16" s="740"/>
      <c r="I16" s="741">
        <f>'Исход дан'!D16</f>
        <v>14580.550000000001</v>
      </c>
      <c r="J16" s="787">
        <f t="shared" si="0"/>
        <v>0</v>
      </c>
      <c r="K16" s="798"/>
      <c r="L16" s="549"/>
      <c r="M16" s="550"/>
      <c r="N16" s="682"/>
      <c r="O16" s="680"/>
    </row>
    <row r="17" spans="1:15" s="21" customFormat="1" ht="30" customHeight="1" thickBot="1">
      <c r="A17" s="830" t="s">
        <v>82</v>
      </c>
      <c r="B17" s="789" t="s">
        <v>322</v>
      </c>
      <c r="C17" s="790"/>
      <c r="D17" s="790"/>
      <c r="E17" s="828"/>
      <c r="F17" s="790"/>
      <c r="G17" s="791"/>
      <c r="H17" s="792">
        <f>SUM(H13:H16)</f>
        <v>0</v>
      </c>
      <c r="I17" s="793">
        <f>'Исход дан'!D16</f>
        <v>14580.550000000001</v>
      </c>
      <c r="J17" s="794">
        <f t="shared" si="0"/>
        <v>0</v>
      </c>
      <c r="K17" s="551"/>
      <c r="L17" s="552"/>
      <c r="M17" s="553"/>
      <c r="N17" s="682"/>
      <c r="O17" s="683"/>
    </row>
    <row r="18" spans="1:15" s="33" customFormat="1" ht="15" customHeight="1">
      <c r="A18" s="795" t="s">
        <v>156</v>
      </c>
      <c r="B18" s="554" t="s">
        <v>84</v>
      </c>
      <c r="C18" s="555" t="s">
        <v>85</v>
      </c>
      <c r="D18" s="555" t="s">
        <v>314</v>
      </c>
      <c r="E18" s="556"/>
      <c r="F18" s="555"/>
      <c r="G18" s="557"/>
      <c r="H18" s="558">
        <v>5000</v>
      </c>
      <c r="I18" s="829">
        <f>'Исход дан'!D16</f>
        <v>14580.550000000001</v>
      </c>
      <c r="J18" s="796">
        <f t="shared" si="0"/>
        <v>0.028576882673607418</v>
      </c>
      <c r="K18" s="799"/>
      <c r="L18" s="559"/>
      <c r="M18" s="560"/>
      <c r="N18" s="682"/>
      <c r="O18" s="680"/>
    </row>
    <row r="19" spans="1:15" s="786" customFormat="1" ht="26.25" customHeight="1">
      <c r="A19" s="795" t="s">
        <v>83</v>
      </c>
      <c r="B19" s="356" t="s">
        <v>495</v>
      </c>
      <c r="C19" s="533" t="s">
        <v>509</v>
      </c>
      <c r="D19" s="533" t="s">
        <v>425</v>
      </c>
      <c r="E19" s="642">
        <v>0</v>
      </c>
      <c r="F19" s="635">
        <f>'Исход дан'!D16</f>
        <v>14580.550000000001</v>
      </c>
      <c r="G19" s="643">
        <v>1</v>
      </c>
      <c r="H19" s="562">
        <f>E19*F19*G19*12</f>
        <v>0</v>
      </c>
      <c r="I19" s="548">
        <f>'Исход дан'!D16</f>
        <v>14580.550000000001</v>
      </c>
      <c r="J19" s="784">
        <f t="shared" si="0"/>
        <v>0</v>
      </c>
      <c r="K19" s="800"/>
      <c r="L19" s="564"/>
      <c r="M19" s="563"/>
      <c r="N19" s="682"/>
      <c r="O19" s="680"/>
    </row>
    <row r="20" spans="1:15" s="786" customFormat="1" ht="24.75" customHeight="1">
      <c r="A20" s="795" t="s">
        <v>157</v>
      </c>
      <c r="B20" s="356" t="s">
        <v>496</v>
      </c>
      <c r="C20" s="533" t="s">
        <v>509</v>
      </c>
      <c r="D20" s="533" t="s">
        <v>425</v>
      </c>
      <c r="E20" s="644">
        <v>0</v>
      </c>
      <c r="F20" s="635">
        <f>'Исход дан'!D16</f>
        <v>14580.550000000001</v>
      </c>
      <c r="G20" s="642">
        <v>1</v>
      </c>
      <c r="H20" s="562">
        <f>E20*F20*G20*12</f>
        <v>0</v>
      </c>
      <c r="I20" s="548">
        <f>'Исход дан'!D16</f>
        <v>14580.550000000001</v>
      </c>
      <c r="J20" s="784">
        <f t="shared" si="0"/>
        <v>0</v>
      </c>
      <c r="K20" s="800"/>
      <c r="L20" s="564"/>
      <c r="M20" s="563"/>
      <c r="N20" s="682"/>
      <c r="O20" s="680"/>
    </row>
    <row r="21" spans="1:15" s="786" customFormat="1" ht="15.75" customHeight="1" thickBot="1">
      <c r="A21" s="801" t="s">
        <v>158</v>
      </c>
      <c r="B21" s="565" t="s">
        <v>428</v>
      </c>
      <c r="C21" s="534" t="s">
        <v>509</v>
      </c>
      <c r="D21" s="534" t="s">
        <v>425</v>
      </c>
      <c r="E21" s="645">
        <v>0.15</v>
      </c>
      <c r="F21" s="646">
        <f>'Исход дан'!D16</f>
        <v>14580.550000000001</v>
      </c>
      <c r="G21" s="647">
        <v>1</v>
      </c>
      <c r="H21" s="735">
        <f>E21*F21*G21*12</f>
        <v>26244.989999999998</v>
      </c>
      <c r="I21" s="741">
        <f>'Исход дан'!D16</f>
        <v>14580.550000000001</v>
      </c>
      <c r="J21" s="787">
        <f t="shared" si="0"/>
        <v>0.15</v>
      </c>
      <c r="K21" s="802"/>
      <c r="L21" s="566"/>
      <c r="M21" s="567"/>
      <c r="N21" s="682"/>
      <c r="O21" s="680"/>
    </row>
    <row r="22" spans="1:15" s="21" customFormat="1" ht="28.5" customHeight="1" thickBot="1">
      <c r="A22" s="830" t="s">
        <v>159</v>
      </c>
      <c r="B22" s="789" t="s">
        <v>348</v>
      </c>
      <c r="C22" s="790"/>
      <c r="D22" s="790"/>
      <c r="E22" s="790"/>
      <c r="F22" s="790"/>
      <c r="G22" s="791"/>
      <c r="H22" s="792">
        <f>H18+H19+H20+H21</f>
        <v>31244.989999999998</v>
      </c>
      <c r="I22" s="793">
        <f>'Исход дан'!D16</f>
        <v>14580.550000000001</v>
      </c>
      <c r="J22" s="794">
        <f t="shared" si="0"/>
        <v>0.17857688267360738</v>
      </c>
      <c r="K22" s="535"/>
      <c r="L22" s="536"/>
      <c r="M22" s="537"/>
      <c r="N22" s="682"/>
      <c r="O22" s="683"/>
    </row>
    <row r="23" spans="1:16" s="1" customFormat="1" ht="25.5" customHeight="1">
      <c r="A23" s="795" t="s">
        <v>90</v>
      </c>
      <c r="B23" s="568" t="s">
        <v>181</v>
      </c>
      <c r="C23" s="569"/>
      <c r="D23" s="544"/>
      <c r="E23" s="742" t="s">
        <v>334</v>
      </c>
      <c r="F23" s="742" t="s">
        <v>334</v>
      </c>
      <c r="G23" s="743" t="s">
        <v>334</v>
      </c>
      <c r="H23" s="558">
        <f>профраб!I24</f>
        <v>330886.7574657534</v>
      </c>
      <c r="I23" s="829">
        <f>'Исход дан'!D16</f>
        <v>14580.550000000001</v>
      </c>
      <c r="J23" s="796">
        <f t="shared" si="0"/>
        <v>1.8911424092698457</v>
      </c>
      <c r="K23" s="803"/>
      <c r="L23" s="581"/>
      <c r="M23" s="570"/>
      <c r="N23" s="682"/>
      <c r="O23" s="680"/>
      <c r="P23" s="410"/>
    </row>
    <row r="24" spans="1:16" s="1" customFormat="1" ht="25.5" customHeight="1">
      <c r="A24" s="795" t="s">
        <v>91</v>
      </c>
      <c r="B24" s="356" t="s">
        <v>182</v>
      </c>
      <c r="C24" s="561"/>
      <c r="D24" s="533"/>
      <c r="E24" s="635" t="s">
        <v>334</v>
      </c>
      <c r="F24" s="635" t="s">
        <v>334</v>
      </c>
      <c r="G24" s="642" t="s">
        <v>334</v>
      </c>
      <c r="H24" s="562">
        <f>профраб!I38</f>
        <v>120144.76636438355</v>
      </c>
      <c r="I24" s="548">
        <f>'Исход дан'!D16</f>
        <v>14580.550000000001</v>
      </c>
      <c r="J24" s="784">
        <f t="shared" si="0"/>
        <v>0.6866725784485928</v>
      </c>
      <c r="K24" s="785"/>
      <c r="L24" s="582"/>
      <c r="M24" s="571"/>
      <c r="N24" s="682"/>
      <c r="O24" s="680"/>
      <c r="P24" s="410"/>
    </row>
    <row r="25" spans="1:16" s="1" customFormat="1" ht="30" customHeight="1" thickBot="1">
      <c r="A25" s="801" t="s">
        <v>92</v>
      </c>
      <c r="B25" s="409" t="s">
        <v>427</v>
      </c>
      <c r="C25" s="572"/>
      <c r="D25" s="534"/>
      <c r="E25" s="572"/>
      <c r="F25" s="648"/>
      <c r="G25" s="649"/>
      <c r="H25" s="735"/>
      <c r="I25" s="741">
        <f>'Исход дан'!D16</f>
        <v>14580.550000000001</v>
      </c>
      <c r="J25" s="787">
        <f t="shared" si="0"/>
        <v>0</v>
      </c>
      <c r="K25" s="804"/>
      <c r="L25" s="583"/>
      <c r="M25" s="573"/>
      <c r="N25" s="682"/>
      <c r="O25" s="680"/>
      <c r="P25" s="410"/>
    </row>
    <row r="26" spans="1:15" s="4" customFormat="1" ht="45" customHeight="1" thickBot="1">
      <c r="A26" s="830" t="s">
        <v>93</v>
      </c>
      <c r="B26" s="805" t="s">
        <v>436</v>
      </c>
      <c r="C26" s="790"/>
      <c r="D26" s="790"/>
      <c r="E26" s="790"/>
      <c r="F26" s="790"/>
      <c r="G26" s="791"/>
      <c r="H26" s="806">
        <f>H23+H24</f>
        <v>451031.523830137</v>
      </c>
      <c r="I26" s="793">
        <f>'Исход дан'!D16</f>
        <v>14580.550000000001</v>
      </c>
      <c r="J26" s="794">
        <f t="shared" si="0"/>
        <v>2.5778149877184386</v>
      </c>
      <c r="K26" s="535"/>
      <c r="L26" s="745"/>
      <c r="M26" s="746"/>
      <c r="N26" s="682"/>
      <c r="O26" s="683"/>
    </row>
    <row r="27" spans="1:15" s="357" customFormat="1" ht="38.25" customHeight="1">
      <c r="A27" s="807" t="s">
        <v>94</v>
      </c>
      <c r="B27" s="252" t="s">
        <v>400</v>
      </c>
      <c r="C27" s="250" t="s">
        <v>288</v>
      </c>
      <c r="D27" s="656"/>
      <c r="E27" s="640"/>
      <c r="F27" s="640"/>
      <c r="G27" s="748"/>
      <c r="H27" s="808">
        <v>5000</v>
      </c>
      <c r="I27" s="548">
        <f>'Исход дан'!D16</f>
        <v>14580.550000000001</v>
      </c>
      <c r="J27" s="753">
        <f t="shared" si="0"/>
        <v>0.028576882673607418</v>
      </c>
      <c r="K27" s="749"/>
      <c r="L27" s="744"/>
      <c r="M27" s="809"/>
      <c r="N27" s="682"/>
      <c r="O27" s="680"/>
    </row>
    <row r="28" spans="1:15" s="21" customFormat="1" ht="35.25" customHeight="1">
      <c r="A28" s="807" t="s">
        <v>95</v>
      </c>
      <c r="B28" s="356" t="s">
        <v>554</v>
      </c>
      <c r="C28" s="250"/>
      <c r="D28" s="656"/>
      <c r="E28" s="635"/>
      <c r="F28" s="635">
        <f>'Исход дан'!D16</f>
        <v>14580.550000000001</v>
      </c>
      <c r="G28" s="642"/>
      <c r="H28" s="750">
        <v>10000</v>
      </c>
      <c r="I28" s="548">
        <f>'Исход дан'!D16</f>
        <v>14580.550000000001</v>
      </c>
      <c r="J28" s="650">
        <f t="shared" si="0"/>
        <v>0.057153765347214835</v>
      </c>
      <c r="K28" s="810"/>
      <c r="L28" s="574"/>
      <c r="M28" s="755"/>
      <c r="N28" s="682"/>
      <c r="O28" s="680"/>
    </row>
    <row r="29" spans="1:15" s="21" customFormat="1" ht="16.5" customHeight="1">
      <c r="A29" s="807" t="s">
        <v>96</v>
      </c>
      <c r="B29" s="356" t="s">
        <v>548</v>
      </c>
      <c r="C29" s="533" t="s">
        <v>494</v>
      </c>
      <c r="D29" s="533" t="s">
        <v>425</v>
      </c>
      <c r="E29" s="635"/>
      <c r="F29" s="635">
        <f>'Исход дан'!D16</f>
        <v>14580.550000000001</v>
      </c>
      <c r="G29" s="642"/>
      <c r="H29" s="750">
        <v>30444.19</v>
      </c>
      <c r="I29" s="548">
        <f>'Исход дан'!D16</f>
        <v>14580.550000000001</v>
      </c>
      <c r="J29" s="650">
        <f t="shared" si="0"/>
        <v>0.17400000914460245</v>
      </c>
      <c r="K29" s="810"/>
      <c r="L29" s="574"/>
      <c r="M29" s="755"/>
      <c r="N29" s="682"/>
      <c r="O29" s="680"/>
    </row>
    <row r="30" spans="1:15" s="21" customFormat="1" ht="26.25" customHeight="1">
      <c r="A30" s="807" t="s">
        <v>97</v>
      </c>
      <c r="B30" s="356" t="s">
        <v>564</v>
      </c>
      <c r="C30" s="533"/>
      <c r="D30" s="533"/>
      <c r="E30" s="635"/>
      <c r="F30" s="635"/>
      <c r="G30" s="642"/>
      <c r="H30" s="750">
        <v>20296.13</v>
      </c>
      <c r="I30" s="548">
        <f>'Исход дан'!D16</f>
        <v>14580.550000000001</v>
      </c>
      <c r="J30" s="650">
        <f t="shared" si="0"/>
        <v>0.11600002514765674</v>
      </c>
      <c r="K30" s="811"/>
      <c r="L30" s="747"/>
      <c r="M30" s="754"/>
      <c r="N30" s="682"/>
      <c r="O30" s="680"/>
    </row>
    <row r="31" spans="1:15" s="21" customFormat="1" ht="86.25" customHeight="1">
      <c r="A31" s="807" t="s">
        <v>160</v>
      </c>
      <c r="B31" s="356" t="s">
        <v>565</v>
      </c>
      <c r="C31" s="561"/>
      <c r="D31" s="533" t="s">
        <v>425</v>
      </c>
      <c r="E31" s="635"/>
      <c r="F31" s="635">
        <f>'Исход дан'!D16</f>
        <v>14580.550000000001</v>
      </c>
      <c r="G31" s="642"/>
      <c r="H31" s="750">
        <v>575390</v>
      </c>
      <c r="I31" s="548">
        <f>'Исход дан'!D16</f>
        <v>14580.550000000001</v>
      </c>
      <c r="J31" s="650">
        <f>H31/I31/12</f>
        <v>3.2885705043133946</v>
      </c>
      <c r="K31" s="811"/>
      <c r="L31" s="747"/>
      <c r="M31" s="754"/>
      <c r="N31" s="682"/>
      <c r="O31" s="680"/>
    </row>
    <row r="32" spans="1:15" s="21" customFormat="1" ht="27" customHeight="1" thickBot="1">
      <c r="A32" s="812" t="s">
        <v>161</v>
      </c>
      <c r="B32" s="409" t="s">
        <v>435</v>
      </c>
      <c r="C32" s="813"/>
      <c r="D32" s="534" t="s">
        <v>425</v>
      </c>
      <c r="E32" s="572"/>
      <c r="F32" s="572">
        <f>'Исход дан'!D16</f>
        <v>14580.550000000001</v>
      </c>
      <c r="G32" s="649"/>
      <c r="H32" s="751">
        <v>260450</v>
      </c>
      <c r="I32" s="741">
        <f>'Исход дан'!D16</f>
        <v>14580.550000000001</v>
      </c>
      <c r="J32" s="734">
        <f t="shared" si="0"/>
        <v>1.4885698184682103</v>
      </c>
      <c r="K32" s="811"/>
      <c r="L32" s="747"/>
      <c r="M32" s="754"/>
      <c r="N32" s="835"/>
      <c r="O32" s="680"/>
    </row>
    <row r="33" spans="1:16" s="5" customFormat="1" ht="32.25" customHeight="1" thickBot="1">
      <c r="A33" s="831"/>
      <c r="B33" s="814" t="s">
        <v>187</v>
      </c>
      <c r="C33" s="815"/>
      <c r="D33" s="815" t="s">
        <v>58</v>
      </c>
      <c r="E33" s="815"/>
      <c r="F33" s="815"/>
      <c r="G33" s="816"/>
      <c r="H33" s="817">
        <f>H7+H8+H10+H18+H19+H20+H21+H23+H24+H27+H28+H29+H31+H32+H30</f>
        <v>2029372.2967593092</v>
      </c>
      <c r="I33" s="833">
        <f>'Исход дан'!D16</f>
        <v>14580.550000000001</v>
      </c>
      <c r="J33" s="832">
        <f>ROUND(H33/I33/12,2)</f>
        <v>11.6</v>
      </c>
      <c r="K33" s="818"/>
      <c r="L33" s="819"/>
      <c r="M33" s="820"/>
      <c r="N33" s="821">
        <v>2029612.56</v>
      </c>
      <c r="O33" s="822">
        <v>11.6</v>
      </c>
      <c r="P33" s="355"/>
    </row>
    <row r="34" spans="2:15" ht="15">
      <c r="B34" s="930"/>
      <c r="C34" s="930"/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</row>
    <row r="35" spans="2:15" ht="27" customHeight="1">
      <c r="B35" s="128"/>
      <c r="H35" s="241"/>
      <c r="N35" s="834">
        <f>J7+J8+J10+J18+J21+J23+J24+J27+J28+J29+J30+J31+J32</f>
        <v>11.598626805112</v>
      </c>
      <c r="O35" s="411"/>
    </row>
    <row r="36" spans="1:15" ht="15">
      <c r="A36" s="823"/>
      <c r="B36" s="685"/>
      <c r="C36" s="134"/>
      <c r="D36" s="134"/>
      <c r="E36" s="134"/>
      <c r="F36" s="134"/>
      <c r="G36" s="134"/>
      <c r="H36" s="686"/>
      <c r="I36" s="926"/>
      <c r="J36" s="926"/>
      <c r="K36" s="926"/>
      <c r="L36" s="926"/>
      <c r="M36" s="134"/>
      <c r="N36" s="134"/>
      <c r="O36" s="927"/>
    </row>
    <row r="37" spans="1:15" ht="15">
      <c r="A37" s="823"/>
      <c r="B37" s="685"/>
      <c r="C37" s="134"/>
      <c r="D37" s="134"/>
      <c r="E37" s="686"/>
      <c r="F37" s="686"/>
      <c r="G37" s="686"/>
      <c r="H37" s="686"/>
      <c r="I37" s="133"/>
      <c r="J37" s="133"/>
      <c r="K37" s="133"/>
      <c r="L37" s="133"/>
      <c r="M37" s="134"/>
      <c r="N37" s="134"/>
      <c r="O37" s="927"/>
    </row>
    <row r="38" spans="1:15" ht="12.75">
      <c r="A38" s="677"/>
      <c r="B38" s="677"/>
      <c r="C38" s="677"/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</row>
    <row r="39" spans="1:15" ht="12.75">
      <c r="A39" s="823"/>
      <c r="B39" s="687"/>
      <c r="C39" s="688"/>
      <c r="D39" s="688"/>
      <c r="E39" s="689"/>
      <c r="F39" s="688"/>
      <c r="G39" s="690"/>
      <c r="H39" s="691"/>
      <c r="I39" s="692"/>
      <c r="J39" s="693"/>
      <c r="K39" s="694"/>
      <c r="L39" s="695"/>
      <c r="M39" s="696"/>
      <c r="N39" s="697"/>
      <c r="O39" s="679"/>
    </row>
    <row r="40" spans="1:15" ht="12.75">
      <c r="A40" s="823"/>
      <c r="B40" s="698"/>
      <c r="C40" s="680"/>
      <c r="D40" s="680"/>
      <c r="E40" s="699"/>
      <c r="F40" s="699"/>
      <c r="G40" s="699"/>
      <c r="H40" s="700"/>
      <c r="I40" s="680"/>
      <c r="J40" s="680"/>
      <c r="K40" s="680"/>
      <c r="L40" s="680"/>
      <c r="M40" s="680"/>
      <c r="N40" s="680"/>
      <c r="O40" s="680"/>
    </row>
    <row r="41" spans="1:15" ht="12.75">
      <c r="A41" s="823"/>
      <c r="B41" s="698"/>
      <c r="C41" s="680"/>
      <c r="D41" s="680"/>
      <c r="E41" s="699"/>
      <c r="F41" s="699"/>
      <c r="G41" s="699"/>
      <c r="H41" s="701"/>
      <c r="I41" s="680"/>
      <c r="J41" s="680"/>
      <c r="K41" s="680"/>
      <c r="L41" s="680"/>
      <c r="M41" s="680"/>
      <c r="N41" s="680"/>
      <c r="O41" s="680"/>
    </row>
    <row r="42" spans="1:15" ht="12.75">
      <c r="A42" s="823"/>
      <c r="B42" s="698"/>
      <c r="C42" s="680"/>
      <c r="D42" s="680"/>
      <c r="E42" s="699"/>
      <c r="F42" s="699"/>
      <c r="G42" s="699"/>
      <c r="H42" s="701"/>
      <c r="I42" s="680"/>
      <c r="J42" s="680"/>
      <c r="K42" s="680"/>
      <c r="L42" s="680"/>
      <c r="M42" s="680"/>
      <c r="N42" s="680"/>
      <c r="O42" s="680"/>
    </row>
    <row r="43" spans="1:15" ht="12.75">
      <c r="A43" s="823"/>
      <c r="B43" s="698"/>
      <c r="C43" s="680"/>
      <c r="D43" s="680"/>
      <c r="E43" s="699"/>
      <c r="F43" s="699"/>
      <c r="G43" s="699"/>
      <c r="H43" s="701"/>
      <c r="I43" s="680"/>
      <c r="J43" s="680"/>
      <c r="K43" s="680"/>
      <c r="L43" s="680"/>
      <c r="M43" s="680"/>
      <c r="N43" s="680"/>
      <c r="O43" s="680"/>
    </row>
    <row r="44" spans="1:15" ht="13.5">
      <c r="A44" s="823"/>
      <c r="B44" s="687"/>
      <c r="C44" s="688"/>
      <c r="D44" s="688"/>
      <c r="E44" s="688"/>
      <c r="F44" s="688"/>
      <c r="G44" s="688"/>
      <c r="H44" s="732"/>
      <c r="I44" s="730"/>
      <c r="J44" s="730"/>
      <c r="K44" s="730"/>
      <c r="L44" s="730"/>
      <c r="M44" s="730"/>
      <c r="N44" s="680"/>
      <c r="O44" s="683"/>
    </row>
    <row r="45" spans="1:15" ht="12.75">
      <c r="A45" s="823"/>
      <c r="B45" s="687"/>
      <c r="C45" s="688"/>
      <c r="D45" s="688"/>
      <c r="E45" s="679"/>
      <c r="F45" s="679"/>
      <c r="G45" s="679"/>
      <c r="H45" s="730"/>
      <c r="I45" s="721"/>
      <c r="J45" s="824"/>
      <c r="K45" s="824"/>
      <c r="L45" s="824"/>
      <c r="M45" s="687"/>
      <c r="N45" s="680"/>
      <c r="O45" s="688"/>
    </row>
    <row r="46" spans="1:15" ht="12.75">
      <c r="A46" s="823"/>
      <c r="B46" s="702"/>
      <c r="C46" s="703"/>
      <c r="D46" s="703"/>
      <c r="E46" s="704"/>
      <c r="F46" s="679"/>
      <c r="G46" s="704"/>
      <c r="H46" s="697"/>
      <c r="I46" s="705"/>
      <c r="J46" s="706"/>
      <c r="K46" s="706"/>
      <c r="L46" s="706"/>
      <c r="M46" s="702"/>
      <c r="N46" s="680"/>
      <c r="O46" s="680"/>
    </row>
    <row r="47" spans="1:15" ht="12.75">
      <c r="A47" s="823"/>
      <c r="B47" s="702"/>
      <c r="C47" s="703"/>
      <c r="D47" s="703"/>
      <c r="E47" s="704"/>
      <c r="F47" s="679"/>
      <c r="G47" s="704"/>
      <c r="H47" s="697"/>
      <c r="I47" s="705"/>
      <c r="J47" s="706"/>
      <c r="K47" s="706"/>
      <c r="L47" s="706"/>
      <c r="M47" s="702"/>
      <c r="N47" s="680"/>
      <c r="O47" s="680"/>
    </row>
    <row r="48" spans="1:15" ht="12.75">
      <c r="A48" s="823"/>
      <c r="B48" s="702"/>
      <c r="C48" s="703"/>
      <c r="D48" s="703"/>
      <c r="E48" s="704"/>
      <c r="F48" s="679"/>
      <c r="G48" s="704"/>
      <c r="H48" s="697"/>
      <c r="I48" s="705"/>
      <c r="J48" s="706"/>
      <c r="K48" s="706"/>
      <c r="L48" s="706"/>
      <c r="M48" s="702"/>
      <c r="N48" s="680"/>
      <c r="O48" s="680"/>
    </row>
    <row r="49" spans="1:15" ht="12.75">
      <c r="A49" s="823"/>
      <c r="B49" s="702"/>
      <c r="C49" s="703"/>
      <c r="D49" s="703"/>
      <c r="E49" s="704"/>
      <c r="F49" s="679"/>
      <c r="G49" s="704"/>
      <c r="H49" s="697"/>
      <c r="I49" s="705"/>
      <c r="J49" s="706"/>
      <c r="K49" s="706"/>
      <c r="L49" s="706"/>
      <c r="M49" s="702"/>
      <c r="N49" s="680"/>
      <c r="O49" s="680"/>
    </row>
    <row r="50" spans="1:15" ht="13.5">
      <c r="A50" s="825"/>
      <c r="B50" s="687"/>
      <c r="C50" s="688"/>
      <c r="D50" s="688"/>
      <c r="E50" s="689"/>
      <c r="F50" s="688"/>
      <c r="G50" s="688"/>
      <c r="H50" s="732"/>
      <c r="I50" s="732"/>
      <c r="J50" s="732"/>
      <c r="K50" s="732"/>
      <c r="L50" s="732"/>
      <c r="M50" s="732"/>
      <c r="N50" s="680"/>
      <c r="O50" s="683"/>
    </row>
    <row r="51" spans="1:15" ht="12.75">
      <c r="A51" s="823"/>
      <c r="B51" s="702"/>
      <c r="C51" s="703"/>
      <c r="D51" s="703"/>
      <c r="E51" s="707"/>
      <c r="F51" s="703"/>
      <c r="G51" s="708"/>
      <c r="H51" s="701"/>
      <c r="I51" s="709"/>
      <c r="J51" s="710"/>
      <c r="K51" s="711"/>
      <c r="L51" s="710"/>
      <c r="M51" s="712"/>
      <c r="N51" s="680"/>
      <c r="O51" s="680"/>
    </row>
    <row r="52" spans="1:15" ht="12.75">
      <c r="A52" s="823"/>
      <c r="B52" s="698"/>
      <c r="C52" s="680"/>
      <c r="D52" s="680"/>
      <c r="E52" s="699"/>
      <c r="F52" s="699"/>
      <c r="G52" s="699"/>
      <c r="H52" s="701"/>
      <c r="I52" s="713"/>
      <c r="J52" s="714"/>
      <c r="K52" s="715"/>
      <c r="L52" s="714"/>
      <c r="M52" s="716"/>
      <c r="N52" s="680"/>
      <c r="O52" s="680"/>
    </row>
    <row r="53" spans="1:15" ht="12.75">
      <c r="A53" s="823"/>
      <c r="B53" s="698"/>
      <c r="C53" s="680"/>
      <c r="D53" s="680"/>
      <c r="E53" s="717"/>
      <c r="F53" s="699"/>
      <c r="G53" s="699"/>
      <c r="H53" s="701"/>
      <c r="I53" s="713"/>
      <c r="J53" s="714"/>
      <c r="K53" s="715"/>
      <c r="L53" s="714"/>
      <c r="M53" s="716"/>
      <c r="N53" s="680"/>
      <c r="O53" s="680"/>
    </row>
    <row r="54" spans="1:15" ht="12.75">
      <c r="A54" s="823"/>
      <c r="B54" s="698"/>
      <c r="C54" s="680"/>
      <c r="D54" s="680"/>
      <c r="E54" s="718"/>
      <c r="F54" s="699"/>
      <c r="G54" s="699"/>
      <c r="H54" s="701"/>
      <c r="I54" s="713"/>
      <c r="J54" s="714"/>
      <c r="K54" s="715"/>
      <c r="L54" s="714"/>
      <c r="M54" s="716"/>
      <c r="N54" s="680"/>
      <c r="O54" s="680"/>
    </row>
    <row r="55" spans="1:15" ht="13.5">
      <c r="A55" s="823"/>
      <c r="B55" s="687"/>
      <c r="C55" s="688"/>
      <c r="D55" s="688"/>
      <c r="E55" s="688"/>
      <c r="F55" s="688"/>
      <c r="G55" s="688"/>
      <c r="H55" s="732"/>
      <c r="I55" s="730"/>
      <c r="J55" s="730"/>
      <c r="K55" s="730"/>
      <c r="L55" s="730"/>
      <c r="M55" s="730"/>
      <c r="N55" s="680"/>
      <c r="O55" s="683"/>
    </row>
    <row r="56" spans="1:15" ht="12.75">
      <c r="A56" s="823"/>
      <c r="B56" s="698"/>
      <c r="C56" s="719"/>
      <c r="D56" s="680"/>
      <c r="E56" s="699"/>
      <c r="F56" s="699"/>
      <c r="G56" s="699"/>
      <c r="H56" s="701"/>
      <c r="I56" s="701"/>
      <c r="J56" s="720"/>
      <c r="K56" s="680"/>
      <c r="L56" s="720"/>
      <c r="M56" s="698"/>
      <c r="N56" s="680"/>
      <c r="O56" s="680"/>
    </row>
    <row r="57" spans="1:15" ht="12.75">
      <c r="A57" s="823"/>
      <c r="B57" s="698"/>
      <c r="C57" s="719"/>
      <c r="D57" s="680"/>
      <c r="E57" s="699"/>
      <c r="F57" s="699"/>
      <c r="G57" s="699"/>
      <c r="H57" s="701"/>
      <c r="I57" s="701"/>
      <c r="J57" s="720"/>
      <c r="K57" s="680"/>
      <c r="L57" s="720"/>
      <c r="M57" s="698"/>
      <c r="N57" s="680"/>
      <c r="O57" s="680"/>
    </row>
    <row r="58" spans="1:15" ht="12.75">
      <c r="A58" s="823"/>
      <c r="B58" s="698"/>
      <c r="C58" s="699"/>
      <c r="D58" s="680"/>
      <c r="E58" s="699"/>
      <c r="F58" s="679"/>
      <c r="G58" s="699"/>
      <c r="H58" s="701"/>
      <c r="I58" s="701"/>
      <c r="J58" s="720"/>
      <c r="K58" s="680"/>
      <c r="L58" s="720"/>
      <c r="M58" s="698"/>
      <c r="N58" s="680"/>
      <c r="O58" s="680"/>
    </row>
    <row r="59" spans="1:15" ht="14.25">
      <c r="A59" s="823"/>
      <c r="B59" s="728"/>
      <c r="C59" s="688"/>
      <c r="D59" s="688"/>
      <c r="E59" s="688"/>
      <c r="F59" s="688"/>
      <c r="G59" s="688"/>
      <c r="H59" s="729"/>
      <c r="I59" s="730"/>
      <c r="J59" s="731"/>
      <c r="K59" s="730"/>
      <c r="L59" s="731"/>
      <c r="M59" s="687"/>
      <c r="N59" s="680"/>
      <c r="O59" s="683"/>
    </row>
    <row r="60" spans="1:15" ht="12.75">
      <c r="A60" s="823"/>
      <c r="B60" s="698"/>
      <c r="C60" s="719"/>
      <c r="D60" s="688"/>
      <c r="E60" s="679"/>
      <c r="F60" s="679"/>
      <c r="G60" s="679"/>
      <c r="H60" s="684"/>
      <c r="I60" s="721"/>
      <c r="J60" s="722"/>
      <c r="K60" s="721"/>
      <c r="L60" s="722"/>
      <c r="M60" s="687"/>
      <c r="N60" s="680"/>
      <c r="O60" s="680"/>
    </row>
    <row r="61" spans="1:15" ht="12.75">
      <c r="A61" s="823"/>
      <c r="B61" s="723"/>
      <c r="C61" s="724"/>
      <c r="D61" s="688"/>
      <c r="E61" s="679"/>
      <c r="F61" s="679"/>
      <c r="G61" s="679"/>
      <c r="H61" s="684"/>
      <c r="I61" s="721"/>
      <c r="J61" s="722"/>
      <c r="K61" s="721"/>
      <c r="L61" s="722"/>
      <c r="M61" s="687"/>
      <c r="N61" s="680"/>
      <c r="O61" s="680"/>
    </row>
    <row r="62" spans="1:15" ht="12.75">
      <c r="A62" s="823"/>
      <c r="B62" s="698"/>
      <c r="C62" s="680"/>
      <c r="D62" s="680"/>
      <c r="E62" s="699"/>
      <c r="F62" s="699"/>
      <c r="G62" s="699"/>
      <c r="H62" s="684"/>
      <c r="I62" s="692"/>
      <c r="J62" s="695"/>
      <c r="K62" s="694"/>
      <c r="L62" s="695"/>
      <c r="M62" s="696"/>
      <c r="N62" s="680"/>
      <c r="O62" s="680"/>
    </row>
    <row r="63" spans="1:15" ht="0.75" customHeight="1">
      <c r="A63" s="823"/>
      <c r="B63" s="698"/>
      <c r="C63" s="680"/>
      <c r="D63" s="680"/>
      <c r="E63" s="699"/>
      <c r="F63" s="699"/>
      <c r="G63" s="699"/>
      <c r="H63" s="684"/>
      <c r="I63" s="692"/>
      <c r="J63" s="695"/>
      <c r="K63" s="694"/>
      <c r="L63" s="695"/>
      <c r="M63" s="696"/>
      <c r="N63" s="680"/>
      <c r="O63" s="680"/>
    </row>
    <row r="64" spans="1:15" ht="12.75">
      <c r="A64" s="823"/>
      <c r="B64" s="698"/>
      <c r="C64" s="719"/>
      <c r="D64" s="680"/>
      <c r="E64" s="699"/>
      <c r="F64" s="699"/>
      <c r="G64" s="699"/>
      <c r="H64" s="684"/>
      <c r="I64" s="692"/>
      <c r="J64" s="695"/>
      <c r="K64" s="694"/>
      <c r="L64" s="695"/>
      <c r="M64" s="696"/>
      <c r="N64" s="680"/>
      <c r="O64" s="680"/>
    </row>
    <row r="65" spans="1:15" ht="12.75" hidden="1">
      <c r="A65" s="823"/>
      <c r="B65" s="698"/>
      <c r="C65" s="719"/>
      <c r="D65" s="680"/>
      <c r="E65" s="699"/>
      <c r="F65" s="699"/>
      <c r="G65" s="699"/>
      <c r="H65" s="684"/>
      <c r="I65" s="692"/>
      <c r="J65" s="695"/>
      <c r="K65" s="694"/>
      <c r="L65" s="695"/>
      <c r="M65" s="696"/>
      <c r="N65" s="680"/>
      <c r="O65" s="680"/>
    </row>
    <row r="66" spans="1:15" ht="12.75" hidden="1">
      <c r="A66" s="823"/>
      <c r="B66" s="698"/>
      <c r="C66" s="719"/>
      <c r="D66" s="680"/>
      <c r="E66" s="699"/>
      <c r="F66" s="699"/>
      <c r="G66" s="699"/>
      <c r="H66" s="684"/>
      <c r="I66" s="692"/>
      <c r="J66" s="695"/>
      <c r="K66" s="694"/>
      <c r="L66" s="695"/>
      <c r="M66" s="696"/>
      <c r="N66" s="680"/>
      <c r="O66" s="680"/>
    </row>
    <row r="67" spans="1:15" ht="12.75">
      <c r="A67" s="823"/>
      <c r="B67" s="698"/>
      <c r="C67" s="719"/>
      <c r="D67" s="680"/>
      <c r="E67" s="699"/>
      <c r="F67" s="699"/>
      <c r="G67" s="699"/>
      <c r="H67" s="684"/>
      <c r="I67" s="692"/>
      <c r="J67" s="695"/>
      <c r="K67" s="694"/>
      <c r="L67" s="695"/>
      <c r="M67" s="696"/>
      <c r="N67" s="680"/>
      <c r="O67" s="680"/>
    </row>
    <row r="68" spans="1:15" ht="12.75">
      <c r="A68" s="823"/>
      <c r="B68" s="698"/>
      <c r="C68" s="719"/>
      <c r="D68" s="680"/>
      <c r="E68" s="699"/>
      <c r="F68" s="699"/>
      <c r="G68" s="699"/>
      <c r="H68" s="701"/>
      <c r="I68" s="692"/>
      <c r="J68" s="695"/>
      <c r="K68" s="694"/>
      <c r="L68" s="695"/>
      <c r="M68" s="696"/>
      <c r="N68" s="680"/>
      <c r="O68" s="680"/>
    </row>
    <row r="69" spans="1:15" ht="14.25">
      <c r="A69" s="823"/>
      <c r="B69" s="725"/>
      <c r="C69" s="726"/>
      <c r="D69" s="726"/>
      <c r="E69" s="726"/>
      <c r="F69" s="726"/>
      <c r="G69" s="726"/>
      <c r="H69" s="727"/>
      <c r="I69" s="691"/>
      <c r="J69" s="691"/>
      <c r="K69" s="691"/>
      <c r="L69" s="691"/>
      <c r="M69" s="691"/>
      <c r="N69" s="680"/>
      <c r="O69" s="822"/>
    </row>
  </sheetData>
  <sheetProtection/>
  <mergeCells count="6">
    <mergeCell ref="I36:L36"/>
    <mergeCell ref="O36:O37"/>
    <mergeCell ref="O3:O4"/>
    <mergeCell ref="J3:J4"/>
    <mergeCell ref="L3:L4"/>
    <mergeCell ref="B34:O3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72" r:id="rId1"/>
  <headerFooter alignWithMargins="0">
    <oddFooter>&amp;CСтраница &amp;P из &amp;N</oddFooter>
  </headerFooter>
  <rowBreaks count="1" manualBreakCount="1">
    <brk id="3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">
      <selection activeCell="H6" sqref="H6"/>
    </sheetView>
  </sheetViews>
  <sheetFormatPr defaultColWidth="9.125" defaultRowHeight="12.75"/>
  <cols>
    <col min="1" max="1" width="6.375" style="877" customWidth="1"/>
    <col min="2" max="2" width="57.00390625" style="786" customWidth="1"/>
    <col min="3" max="3" width="25.375" style="875" customWidth="1"/>
    <col min="4" max="4" width="14.50390625" style="875" bestFit="1" customWidth="1"/>
    <col min="5" max="5" width="12.875" style="875" customWidth="1"/>
    <col min="6" max="6" width="13.125" style="33" bestFit="1" customWidth="1"/>
    <col min="7" max="7" width="9.125" style="33" customWidth="1"/>
    <col min="8" max="8" width="10.375" style="33" bestFit="1" customWidth="1"/>
    <col min="9" max="16384" width="9.125" style="33" customWidth="1"/>
  </cols>
  <sheetData>
    <row r="1" spans="1:5" ht="36.75" customHeight="1" thickBot="1">
      <c r="A1" s="934" t="s">
        <v>586</v>
      </c>
      <c r="B1" s="934"/>
      <c r="C1" s="934"/>
      <c r="D1" s="934"/>
      <c r="E1" s="934"/>
    </row>
    <row r="2" spans="1:5" ht="69.75" customHeight="1">
      <c r="A2" s="837" t="s">
        <v>193</v>
      </c>
      <c r="B2" s="838" t="s">
        <v>194</v>
      </c>
      <c r="C2" s="838" t="s">
        <v>195</v>
      </c>
      <c r="D2" s="839" t="s">
        <v>506</v>
      </c>
      <c r="E2" s="840" t="s">
        <v>505</v>
      </c>
    </row>
    <row r="3" spans="1:5" ht="20.25" customHeight="1">
      <c r="A3" s="841"/>
      <c r="B3" s="842" t="s">
        <v>297</v>
      </c>
      <c r="C3" s="843"/>
      <c r="D3" s="843"/>
      <c r="E3" s="844">
        <f>'Исход дан'!D16</f>
        <v>14580.550000000001</v>
      </c>
    </row>
    <row r="4" spans="1:5" ht="20.25" customHeight="1">
      <c r="A4" s="935" t="s">
        <v>377</v>
      </c>
      <c r="B4" s="936"/>
      <c r="C4" s="936"/>
      <c r="D4" s="936"/>
      <c r="E4" s="937"/>
    </row>
    <row r="5" spans="1:7" s="254" customFormat="1" ht="17.25" customHeight="1">
      <c r="A5" s="845" t="s">
        <v>196</v>
      </c>
      <c r="B5" s="846" t="s">
        <v>566</v>
      </c>
      <c r="C5" s="847"/>
      <c r="D5" s="848">
        <f>'ВСЕ раб'!H7</f>
        <v>300663.6603678373</v>
      </c>
      <c r="E5" s="849">
        <f>ROUND(D5/E$3/12,2)</f>
        <v>1.72</v>
      </c>
      <c r="G5" s="330"/>
    </row>
    <row r="6" spans="1:7" ht="17.25" customHeight="1">
      <c r="A6" s="850" t="s">
        <v>197</v>
      </c>
      <c r="B6" s="651" t="s">
        <v>567</v>
      </c>
      <c r="C6" s="851" t="s">
        <v>198</v>
      </c>
      <c r="D6" s="852"/>
      <c r="E6" s="853"/>
      <c r="F6" s="254"/>
      <c r="G6" s="254"/>
    </row>
    <row r="7" spans="1:7" ht="16.5" customHeight="1">
      <c r="A7" s="850" t="s">
        <v>382</v>
      </c>
      <c r="B7" s="651" t="s">
        <v>568</v>
      </c>
      <c r="C7" s="851" t="s">
        <v>569</v>
      </c>
      <c r="D7" s="852"/>
      <c r="E7" s="853"/>
      <c r="F7" s="254"/>
      <c r="G7" s="254"/>
    </row>
    <row r="8" spans="1:7" ht="19.5" customHeight="1">
      <c r="A8" s="850" t="s">
        <v>383</v>
      </c>
      <c r="B8" s="651" t="s">
        <v>301</v>
      </c>
      <c r="C8" s="851" t="s">
        <v>569</v>
      </c>
      <c r="D8" s="852"/>
      <c r="E8" s="853"/>
      <c r="F8" s="254"/>
      <c r="G8" s="254"/>
    </row>
    <row r="9" spans="1:7" ht="16.5" customHeight="1">
      <c r="A9" s="850" t="s">
        <v>384</v>
      </c>
      <c r="B9" s="651" t="s">
        <v>201</v>
      </c>
      <c r="C9" s="851" t="s">
        <v>202</v>
      </c>
      <c r="D9" s="852"/>
      <c r="E9" s="853"/>
      <c r="F9" s="254"/>
      <c r="G9" s="254"/>
    </row>
    <row r="10" spans="1:7" ht="15.75" customHeight="1">
      <c r="A10" s="850" t="s">
        <v>385</v>
      </c>
      <c r="B10" s="651" t="s">
        <v>203</v>
      </c>
      <c r="C10" s="851" t="s">
        <v>202</v>
      </c>
      <c r="D10" s="852"/>
      <c r="E10" s="853"/>
      <c r="F10" s="254"/>
      <c r="G10" s="254"/>
    </row>
    <row r="11" spans="1:7" ht="55.5" customHeight="1">
      <c r="A11" s="850" t="s">
        <v>386</v>
      </c>
      <c r="B11" s="651" t="s">
        <v>204</v>
      </c>
      <c r="C11" s="851" t="s">
        <v>200</v>
      </c>
      <c r="D11" s="852"/>
      <c r="E11" s="853"/>
      <c r="F11" s="254"/>
      <c r="G11" s="254"/>
    </row>
    <row r="12" spans="1:7" ht="26.25" customHeight="1">
      <c r="A12" s="850" t="s">
        <v>553</v>
      </c>
      <c r="B12" s="651" t="s">
        <v>205</v>
      </c>
      <c r="C12" s="851" t="s">
        <v>206</v>
      </c>
      <c r="D12" s="852"/>
      <c r="E12" s="853"/>
      <c r="F12" s="254"/>
      <c r="G12" s="254"/>
    </row>
    <row r="13" spans="1:7" ht="12" customHeight="1">
      <c r="A13" s="850" t="s">
        <v>549</v>
      </c>
      <c r="B13" s="854" t="s">
        <v>550</v>
      </c>
      <c r="C13" s="851" t="s">
        <v>551</v>
      </c>
      <c r="D13" s="852"/>
      <c r="E13" s="853"/>
      <c r="F13" s="254"/>
      <c r="G13" s="254"/>
    </row>
    <row r="14" spans="1:7" ht="15" customHeight="1">
      <c r="A14" s="850" t="s">
        <v>570</v>
      </c>
      <c r="B14" s="356" t="s">
        <v>552</v>
      </c>
      <c r="C14" s="851" t="s">
        <v>199</v>
      </c>
      <c r="D14" s="852"/>
      <c r="E14" s="853"/>
      <c r="F14" s="254"/>
      <c r="G14" s="254"/>
    </row>
    <row r="15" spans="1:7" ht="19.5" customHeight="1">
      <c r="A15" s="850" t="s">
        <v>571</v>
      </c>
      <c r="B15" s="651" t="s">
        <v>398</v>
      </c>
      <c r="C15" s="851" t="s">
        <v>269</v>
      </c>
      <c r="D15" s="848">
        <v>0</v>
      </c>
      <c r="E15" s="855">
        <f>D15/E$3/12</f>
        <v>0</v>
      </c>
      <c r="F15" s="254"/>
      <c r="G15" s="254"/>
    </row>
    <row r="16" spans="1:7" ht="21.75" customHeight="1">
      <c r="A16" s="935" t="s">
        <v>504</v>
      </c>
      <c r="B16" s="936"/>
      <c r="C16" s="936"/>
      <c r="D16" s="936"/>
      <c r="E16" s="937"/>
      <c r="F16" s="254"/>
      <c r="G16" s="254"/>
    </row>
    <row r="17" spans="1:7" s="254" customFormat="1" ht="16.5" customHeight="1">
      <c r="A17" s="856" t="s">
        <v>387</v>
      </c>
      <c r="B17" s="846" t="s">
        <v>207</v>
      </c>
      <c r="C17" s="847"/>
      <c r="D17" s="848">
        <f>'ВСЕ раб'!H8</f>
        <v>298857.80256133515</v>
      </c>
      <c r="E17" s="849">
        <f>ROUND(D17/E$3/12,2)</f>
        <v>1.71</v>
      </c>
      <c r="F17" s="341"/>
      <c r="G17" s="330"/>
    </row>
    <row r="18" spans="1:7" s="253" customFormat="1" ht="19.5" customHeight="1">
      <c r="A18" s="856" t="s">
        <v>67</v>
      </c>
      <c r="B18" s="857" t="s">
        <v>208</v>
      </c>
      <c r="C18" s="858"/>
      <c r="D18" s="859"/>
      <c r="E18" s="860"/>
      <c r="F18" s="254"/>
      <c r="G18" s="254"/>
    </row>
    <row r="19" spans="1:7" ht="27" customHeight="1">
      <c r="A19" s="938" t="s">
        <v>209</v>
      </c>
      <c r="B19" s="651" t="s">
        <v>210</v>
      </c>
      <c r="C19" s="851" t="s">
        <v>211</v>
      </c>
      <c r="D19" s="939"/>
      <c r="E19" s="940"/>
      <c r="F19" s="254"/>
      <c r="G19" s="254"/>
    </row>
    <row r="20" spans="1:7" ht="14.25" customHeight="1">
      <c r="A20" s="938"/>
      <c r="B20" s="651" t="s">
        <v>213</v>
      </c>
      <c r="C20" s="851" t="s">
        <v>212</v>
      </c>
      <c r="D20" s="939"/>
      <c r="E20" s="940"/>
      <c r="F20" s="254"/>
      <c r="G20" s="254"/>
    </row>
    <row r="21" spans="1:7" ht="30.75" customHeight="1">
      <c r="A21" s="938" t="s">
        <v>214</v>
      </c>
      <c r="B21" s="651" t="s">
        <v>215</v>
      </c>
      <c r="C21" s="851" t="s">
        <v>216</v>
      </c>
      <c r="D21" s="939"/>
      <c r="E21" s="940"/>
      <c r="F21" s="254"/>
      <c r="G21" s="254"/>
    </row>
    <row r="22" spans="1:7" ht="15" customHeight="1">
      <c r="A22" s="938"/>
      <c r="B22" s="651" t="s">
        <v>217</v>
      </c>
      <c r="C22" s="851" t="s">
        <v>298</v>
      </c>
      <c r="D22" s="939"/>
      <c r="E22" s="940"/>
      <c r="F22" s="254"/>
      <c r="G22" s="254"/>
    </row>
    <row r="23" spans="1:7" ht="17.25" customHeight="1">
      <c r="A23" s="938"/>
      <c r="B23" s="651" t="s">
        <v>218</v>
      </c>
      <c r="C23" s="851" t="s">
        <v>299</v>
      </c>
      <c r="D23" s="939"/>
      <c r="E23" s="940"/>
      <c r="F23" s="254"/>
      <c r="G23" s="254"/>
    </row>
    <row r="24" spans="1:7" ht="28.5" customHeight="1">
      <c r="A24" s="938" t="s">
        <v>219</v>
      </c>
      <c r="B24" s="651" t="s">
        <v>220</v>
      </c>
      <c r="C24" s="851" t="s">
        <v>221</v>
      </c>
      <c r="D24" s="939"/>
      <c r="E24" s="940"/>
      <c r="F24" s="254"/>
      <c r="G24" s="254"/>
    </row>
    <row r="25" spans="1:7" ht="14.25" customHeight="1">
      <c r="A25" s="938"/>
      <c r="B25" s="651" t="s">
        <v>223</v>
      </c>
      <c r="C25" s="851" t="s">
        <v>222</v>
      </c>
      <c r="D25" s="939"/>
      <c r="E25" s="940"/>
      <c r="F25" s="254"/>
      <c r="G25" s="254"/>
    </row>
    <row r="26" spans="1:7" ht="43.5" customHeight="1">
      <c r="A26" s="938" t="s">
        <v>224</v>
      </c>
      <c r="B26" s="651" t="s">
        <v>225</v>
      </c>
      <c r="C26" s="851" t="s">
        <v>300</v>
      </c>
      <c r="D26" s="939"/>
      <c r="E26" s="940"/>
      <c r="F26" s="254"/>
      <c r="G26" s="254"/>
    </row>
    <row r="27" spans="1:7" ht="17.25" customHeight="1">
      <c r="A27" s="938"/>
      <c r="B27" s="651" t="s">
        <v>223</v>
      </c>
      <c r="C27" s="851" t="s">
        <v>226</v>
      </c>
      <c r="D27" s="939"/>
      <c r="E27" s="940"/>
      <c r="F27" s="254"/>
      <c r="G27" s="254"/>
    </row>
    <row r="28" spans="1:7" ht="26.25">
      <c r="A28" s="938" t="s">
        <v>227</v>
      </c>
      <c r="B28" s="651" t="s">
        <v>228</v>
      </c>
      <c r="C28" s="851" t="s">
        <v>229</v>
      </c>
      <c r="D28" s="939"/>
      <c r="E28" s="940"/>
      <c r="F28" s="254"/>
      <c r="G28" s="254"/>
    </row>
    <row r="29" spans="1:7" ht="15" customHeight="1">
      <c r="A29" s="938"/>
      <c r="B29" s="651" t="s">
        <v>231</v>
      </c>
      <c r="C29" s="851" t="s">
        <v>230</v>
      </c>
      <c r="D29" s="939"/>
      <c r="E29" s="940"/>
      <c r="F29" s="254"/>
      <c r="G29" s="254"/>
    </row>
    <row r="30" spans="1:7" ht="13.5" customHeight="1">
      <c r="A30" s="938"/>
      <c r="B30" s="651" t="s">
        <v>218</v>
      </c>
      <c r="C30" s="851" t="s">
        <v>221</v>
      </c>
      <c r="D30" s="939"/>
      <c r="E30" s="940"/>
      <c r="F30" s="254"/>
      <c r="G30" s="254"/>
    </row>
    <row r="31" spans="1:7" ht="16.5" customHeight="1">
      <c r="A31" s="938" t="s">
        <v>232</v>
      </c>
      <c r="B31" s="651" t="s">
        <v>233</v>
      </c>
      <c r="C31" s="851" t="s">
        <v>234</v>
      </c>
      <c r="D31" s="939"/>
      <c r="E31" s="940"/>
      <c r="F31" s="254"/>
      <c r="G31" s="254"/>
    </row>
    <row r="32" spans="1:7" ht="19.5" customHeight="1">
      <c r="A32" s="938"/>
      <c r="B32" s="651" t="s">
        <v>231</v>
      </c>
      <c r="C32" s="851" t="s">
        <v>235</v>
      </c>
      <c r="D32" s="939"/>
      <c r="E32" s="940"/>
      <c r="F32" s="254"/>
      <c r="G32" s="254"/>
    </row>
    <row r="33" spans="1:7" ht="15.75" customHeight="1">
      <c r="A33" s="938"/>
      <c r="B33" s="651" t="s">
        <v>218</v>
      </c>
      <c r="C33" s="851" t="s">
        <v>236</v>
      </c>
      <c r="D33" s="939"/>
      <c r="E33" s="940"/>
      <c r="F33" s="254"/>
      <c r="G33" s="254"/>
    </row>
    <row r="34" spans="1:7" ht="17.25" customHeight="1">
      <c r="A34" s="850" t="s">
        <v>237</v>
      </c>
      <c r="B34" s="651" t="s">
        <v>238</v>
      </c>
      <c r="C34" s="851" t="s">
        <v>200</v>
      </c>
      <c r="D34" s="852"/>
      <c r="E34" s="861"/>
      <c r="F34" s="254"/>
      <c r="G34" s="254"/>
    </row>
    <row r="35" spans="1:7" ht="15" customHeight="1">
      <c r="A35" s="850" t="s">
        <v>239</v>
      </c>
      <c r="B35" s="651" t="s">
        <v>240</v>
      </c>
      <c r="C35" s="851" t="s">
        <v>241</v>
      </c>
      <c r="D35" s="852"/>
      <c r="E35" s="861"/>
      <c r="F35" s="254"/>
      <c r="G35" s="254"/>
    </row>
    <row r="36" spans="1:7" ht="19.5" customHeight="1">
      <c r="A36" s="850" t="s">
        <v>289</v>
      </c>
      <c r="B36" s="651" t="s">
        <v>242</v>
      </c>
      <c r="C36" s="851" t="s">
        <v>241</v>
      </c>
      <c r="D36" s="852"/>
      <c r="E36" s="861"/>
      <c r="F36" s="254"/>
      <c r="G36" s="254"/>
    </row>
    <row r="37" spans="1:7" ht="13.5">
      <c r="A37" s="850" t="s">
        <v>290</v>
      </c>
      <c r="B37" s="651" t="s">
        <v>243</v>
      </c>
      <c r="C37" s="851" t="s">
        <v>198</v>
      </c>
      <c r="D37" s="852"/>
      <c r="E37" s="861"/>
      <c r="F37" s="254"/>
      <c r="G37" s="254"/>
    </row>
    <row r="38" spans="1:7" s="253" customFormat="1" ht="19.5" customHeight="1">
      <c r="A38" s="856" t="s">
        <v>68</v>
      </c>
      <c r="B38" s="857" t="s">
        <v>244</v>
      </c>
      <c r="C38" s="858"/>
      <c r="D38" s="859"/>
      <c r="E38" s="860"/>
      <c r="F38" s="254"/>
      <c r="G38" s="254"/>
    </row>
    <row r="39" spans="1:7" ht="15.75" customHeight="1">
      <c r="A39" s="938" t="s">
        <v>518</v>
      </c>
      <c r="B39" s="651" t="s">
        <v>245</v>
      </c>
      <c r="C39" s="851" t="s">
        <v>235</v>
      </c>
      <c r="D39" s="939"/>
      <c r="E39" s="940"/>
      <c r="F39" s="254"/>
      <c r="G39" s="254"/>
    </row>
    <row r="40" spans="1:7" ht="19.5" customHeight="1">
      <c r="A40" s="938"/>
      <c r="B40" s="651" t="s">
        <v>231</v>
      </c>
      <c r="C40" s="851" t="s">
        <v>236</v>
      </c>
      <c r="D40" s="939"/>
      <c r="E40" s="940"/>
      <c r="F40" s="254"/>
      <c r="G40" s="254"/>
    </row>
    <row r="41" spans="1:7" ht="12.75" customHeight="1">
      <c r="A41" s="938"/>
      <c r="B41" s="651" t="s">
        <v>218</v>
      </c>
      <c r="C41" s="851" t="s">
        <v>246</v>
      </c>
      <c r="D41" s="939"/>
      <c r="E41" s="940"/>
      <c r="F41" s="254"/>
      <c r="G41" s="254"/>
    </row>
    <row r="42" spans="1:7" ht="27.75" customHeight="1">
      <c r="A42" s="938" t="s">
        <v>247</v>
      </c>
      <c r="B42" s="651" t="s">
        <v>248</v>
      </c>
      <c r="C42" s="851" t="s">
        <v>249</v>
      </c>
      <c r="D42" s="939"/>
      <c r="E42" s="940"/>
      <c r="F42" s="254"/>
      <c r="G42" s="254"/>
    </row>
    <row r="43" spans="1:7" ht="15.75" customHeight="1">
      <c r="A43" s="938"/>
      <c r="B43" s="651" t="s">
        <v>231</v>
      </c>
      <c r="C43" s="851" t="s">
        <v>250</v>
      </c>
      <c r="D43" s="939"/>
      <c r="E43" s="940"/>
      <c r="F43" s="254"/>
      <c r="G43" s="254"/>
    </row>
    <row r="44" spans="1:7" ht="16.5" customHeight="1">
      <c r="A44" s="938"/>
      <c r="B44" s="651" t="s">
        <v>218</v>
      </c>
      <c r="C44" s="851" t="s">
        <v>291</v>
      </c>
      <c r="D44" s="939"/>
      <c r="E44" s="940"/>
      <c r="F44" s="254"/>
      <c r="G44" s="254"/>
    </row>
    <row r="45" spans="1:7" ht="27.75" customHeight="1">
      <c r="A45" s="938" t="s">
        <v>251</v>
      </c>
      <c r="B45" s="651" t="s">
        <v>252</v>
      </c>
      <c r="C45" s="851" t="s">
        <v>253</v>
      </c>
      <c r="D45" s="939"/>
      <c r="E45" s="940"/>
      <c r="F45" s="254"/>
      <c r="G45" s="254"/>
    </row>
    <row r="46" spans="1:7" ht="17.25" customHeight="1">
      <c r="A46" s="938"/>
      <c r="B46" s="651" t="s">
        <v>255</v>
      </c>
      <c r="C46" s="851" t="s">
        <v>254</v>
      </c>
      <c r="D46" s="939"/>
      <c r="E46" s="940"/>
      <c r="F46" s="254"/>
      <c r="G46" s="254"/>
    </row>
    <row r="47" spans="1:7" ht="15" customHeight="1">
      <c r="A47" s="850" t="s">
        <v>292</v>
      </c>
      <c r="B47" s="651" t="s">
        <v>256</v>
      </c>
      <c r="C47" s="851" t="s">
        <v>236</v>
      </c>
      <c r="D47" s="852"/>
      <c r="E47" s="861"/>
      <c r="F47" s="254"/>
      <c r="G47" s="254"/>
    </row>
    <row r="48" spans="1:7" ht="17.25" customHeight="1">
      <c r="A48" s="850" t="s">
        <v>293</v>
      </c>
      <c r="B48" s="651" t="s">
        <v>238</v>
      </c>
      <c r="C48" s="851" t="s">
        <v>199</v>
      </c>
      <c r="D48" s="852"/>
      <c r="E48" s="861"/>
      <c r="F48" s="254"/>
      <c r="G48" s="254"/>
    </row>
    <row r="49" spans="1:7" ht="14.25" customHeight="1">
      <c r="A49" s="850" t="s">
        <v>294</v>
      </c>
      <c r="B49" s="651" t="s">
        <v>240</v>
      </c>
      <c r="C49" s="851" t="s">
        <v>257</v>
      </c>
      <c r="D49" s="852"/>
      <c r="E49" s="861"/>
      <c r="F49" s="254"/>
      <c r="G49" s="254"/>
    </row>
    <row r="50" spans="1:7" ht="14.25" customHeight="1">
      <c r="A50" s="850" t="s">
        <v>295</v>
      </c>
      <c r="B50" s="651" t="s">
        <v>242</v>
      </c>
      <c r="C50" s="851" t="s">
        <v>257</v>
      </c>
      <c r="D50" s="852"/>
      <c r="E50" s="861"/>
      <c r="F50" s="254"/>
      <c r="G50" s="254"/>
    </row>
    <row r="51" spans="1:7" ht="15" customHeight="1">
      <c r="A51" s="850" t="s">
        <v>258</v>
      </c>
      <c r="B51" s="651" t="s">
        <v>259</v>
      </c>
      <c r="C51" s="851" t="s">
        <v>260</v>
      </c>
      <c r="D51" s="852"/>
      <c r="E51" s="861"/>
      <c r="F51" s="254"/>
      <c r="G51" s="254"/>
    </row>
    <row r="52" spans="1:7" ht="15.75" customHeight="1">
      <c r="A52" s="850" t="s">
        <v>261</v>
      </c>
      <c r="B52" s="651" t="s">
        <v>262</v>
      </c>
      <c r="C52" s="851" t="s">
        <v>263</v>
      </c>
      <c r="D52" s="852"/>
      <c r="E52" s="861"/>
      <c r="F52" s="254"/>
      <c r="G52" s="254"/>
    </row>
    <row r="53" spans="1:7" ht="17.25" customHeight="1">
      <c r="A53" s="850" t="s">
        <v>264</v>
      </c>
      <c r="B53" s="651" t="s">
        <v>265</v>
      </c>
      <c r="C53" s="851" t="s">
        <v>266</v>
      </c>
      <c r="D53" s="852"/>
      <c r="E53" s="861"/>
      <c r="F53" s="254"/>
      <c r="G53" s="254"/>
    </row>
    <row r="54" spans="1:7" ht="15.75" customHeight="1">
      <c r="A54" s="850" t="s">
        <v>296</v>
      </c>
      <c r="B54" s="651" t="s">
        <v>243</v>
      </c>
      <c r="C54" s="851" t="s">
        <v>198</v>
      </c>
      <c r="D54" s="852"/>
      <c r="E54" s="861"/>
      <c r="F54" s="254"/>
      <c r="G54" s="254"/>
    </row>
    <row r="55" spans="1:7" ht="17.25" customHeight="1">
      <c r="A55" s="850" t="s">
        <v>69</v>
      </c>
      <c r="B55" s="356" t="s">
        <v>411</v>
      </c>
      <c r="C55" s="851" t="s">
        <v>269</v>
      </c>
      <c r="D55" s="848">
        <f>'ВСЕ раб'!H10</f>
        <v>45994</v>
      </c>
      <c r="E55" s="849">
        <f>ROUND(D55/E$3/12,2)</f>
        <v>0.26</v>
      </c>
      <c r="F55" s="254"/>
      <c r="G55" s="330"/>
    </row>
    <row r="56" spans="1:7" ht="18" customHeight="1">
      <c r="A56" s="850" t="s">
        <v>519</v>
      </c>
      <c r="B56" s="651" t="s">
        <v>500</v>
      </c>
      <c r="C56" s="851" t="s">
        <v>269</v>
      </c>
      <c r="D56" s="848">
        <f>'ВСЕ раб'!H21</f>
        <v>26244.989999999998</v>
      </c>
      <c r="E56" s="849">
        <f>ROUND(D56/E$3/12,2)</f>
        <v>0.15</v>
      </c>
      <c r="F56" s="254"/>
      <c r="G56" s="330"/>
    </row>
    <row r="57" spans="1:7" ht="21.75" customHeight="1">
      <c r="A57" s="935" t="s">
        <v>378</v>
      </c>
      <c r="B57" s="936"/>
      <c r="C57" s="936"/>
      <c r="D57" s="936"/>
      <c r="E57" s="937"/>
      <c r="F57" s="254"/>
      <c r="G57" s="330"/>
    </row>
    <row r="58" spans="1:7" ht="27" customHeight="1">
      <c r="A58" s="850" t="s">
        <v>70</v>
      </c>
      <c r="B58" s="651" t="s">
        <v>287</v>
      </c>
      <c r="C58" s="851" t="s">
        <v>268</v>
      </c>
      <c r="D58" s="848">
        <f>профраб!I10</f>
        <v>9184.914410958905</v>
      </c>
      <c r="E58" s="849">
        <f aca="true" t="shared" si="0" ref="E58:E64">ROUND(D58/E$3/12,2)</f>
        <v>0.05</v>
      </c>
      <c r="F58" s="254"/>
      <c r="G58" s="330"/>
    </row>
    <row r="59" spans="1:7" ht="17.25" customHeight="1">
      <c r="A59" s="850" t="s">
        <v>71</v>
      </c>
      <c r="B59" s="651" t="s">
        <v>272</v>
      </c>
      <c r="C59" s="851" t="s">
        <v>283</v>
      </c>
      <c r="D59" s="848">
        <f>'[2]профраб'!I11+'[2]профраб'!I12</f>
        <v>0</v>
      </c>
      <c r="E59" s="849">
        <f t="shared" si="0"/>
        <v>0</v>
      </c>
      <c r="F59" s="254"/>
      <c r="G59" s="330"/>
    </row>
    <row r="60" spans="1:7" ht="16.5" customHeight="1">
      <c r="A60" s="850" t="s">
        <v>72</v>
      </c>
      <c r="B60" s="651" t="s">
        <v>502</v>
      </c>
      <c r="C60" s="851" t="s">
        <v>283</v>
      </c>
      <c r="D60" s="848">
        <f>профраб!I13</f>
        <v>33329.84449315069</v>
      </c>
      <c r="E60" s="849">
        <f t="shared" si="0"/>
        <v>0.19</v>
      </c>
      <c r="F60" s="254"/>
      <c r="G60" s="330"/>
    </row>
    <row r="61" spans="1:7" ht="29.25" customHeight="1">
      <c r="A61" s="850" t="s">
        <v>388</v>
      </c>
      <c r="B61" s="651" t="s">
        <v>286</v>
      </c>
      <c r="C61" s="851" t="s">
        <v>268</v>
      </c>
      <c r="D61" s="848">
        <f>профраб!I14</f>
        <v>8528.849095890411</v>
      </c>
      <c r="E61" s="849">
        <f t="shared" si="0"/>
        <v>0.05</v>
      </c>
      <c r="F61" s="254"/>
      <c r="G61" s="330"/>
    </row>
    <row r="62" spans="1:8" ht="27.75" customHeight="1">
      <c r="A62" s="850" t="s">
        <v>389</v>
      </c>
      <c r="B62" s="651" t="s">
        <v>282</v>
      </c>
      <c r="C62" s="851" t="s">
        <v>268</v>
      </c>
      <c r="D62" s="848">
        <f>профраб!I15</f>
        <v>108173.47350082193</v>
      </c>
      <c r="E62" s="849">
        <f t="shared" si="0"/>
        <v>0.62</v>
      </c>
      <c r="F62" s="254"/>
      <c r="G62" s="330"/>
      <c r="H62" s="826"/>
    </row>
    <row r="63" spans="1:7" ht="30.75" customHeight="1">
      <c r="A63" s="850" t="s">
        <v>390</v>
      </c>
      <c r="B63" s="651" t="s">
        <v>284</v>
      </c>
      <c r="C63" s="851" t="s">
        <v>268</v>
      </c>
      <c r="D63" s="848">
        <f>профраб!I16</f>
        <v>19542.113950684932</v>
      </c>
      <c r="E63" s="849">
        <f t="shared" si="0"/>
        <v>0.11</v>
      </c>
      <c r="F63" s="254"/>
      <c r="G63" s="330"/>
    </row>
    <row r="64" spans="1:7" ht="18" customHeight="1">
      <c r="A64" s="850" t="s">
        <v>520</v>
      </c>
      <c r="B64" s="651" t="s">
        <v>273</v>
      </c>
      <c r="C64" s="851" t="s">
        <v>268</v>
      </c>
      <c r="D64" s="848">
        <f>профраб!I17</f>
        <v>23595.33150684931</v>
      </c>
      <c r="E64" s="849">
        <f t="shared" si="0"/>
        <v>0.13</v>
      </c>
      <c r="F64" s="254"/>
      <c r="G64" s="330"/>
    </row>
    <row r="65" spans="1:7" ht="21.75" customHeight="1">
      <c r="A65" s="935" t="s">
        <v>379</v>
      </c>
      <c r="B65" s="936"/>
      <c r="C65" s="936"/>
      <c r="D65" s="936"/>
      <c r="E65" s="937"/>
      <c r="F65" s="254"/>
      <c r="G65" s="330"/>
    </row>
    <row r="66" spans="1:7" s="254" customFormat="1" ht="18.75" customHeight="1">
      <c r="A66" s="850" t="s">
        <v>391</v>
      </c>
      <c r="B66" s="651" t="s">
        <v>267</v>
      </c>
      <c r="C66" s="851" t="s">
        <v>171</v>
      </c>
      <c r="D66" s="848">
        <f>'[2]ВСЕ раб'!H17</f>
        <v>0</v>
      </c>
      <c r="E66" s="849">
        <f>ROUND(D66/E$3/12,2)</f>
        <v>0</v>
      </c>
      <c r="G66" s="330"/>
    </row>
    <row r="67" spans="1:7" s="254" customFormat="1" ht="17.25" customHeight="1">
      <c r="A67" s="850" t="s">
        <v>392</v>
      </c>
      <c r="B67" s="651" t="s">
        <v>189</v>
      </c>
      <c r="C67" s="851" t="s">
        <v>268</v>
      </c>
      <c r="D67" s="848">
        <f>'ВСЕ раб'!H18</f>
        <v>5000</v>
      </c>
      <c r="E67" s="849">
        <f>ROUND(D67/E$3/12,2)</f>
        <v>0.03</v>
      </c>
      <c r="G67" s="330"/>
    </row>
    <row r="68" spans="1:7" s="254" customFormat="1" ht="13.5">
      <c r="A68" s="850" t="s">
        <v>393</v>
      </c>
      <c r="B68" s="651" t="s">
        <v>501</v>
      </c>
      <c r="C68" s="851" t="s">
        <v>269</v>
      </c>
      <c r="D68" s="848">
        <f>'[2]ВСЕ раб'!H19</f>
        <v>0</v>
      </c>
      <c r="E68" s="849">
        <f>D68/E$3/12</f>
        <v>0</v>
      </c>
      <c r="G68" s="330"/>
    </row>
    <row r="69" spans="1:8" s="254" customFormat="1" ht="14.25" customHeight="1">
      <c r="A69" s="850" t="s">
        <v>521</v>
      </c>
      <c r="B69" s="356" t="s">
        <v>496</v>
      </c>
      <c r="C69" s="851" t="s">
        <v>269</v>
      </c>
      <c r="D69" s="848">
        <f>'[2]ВСЕ раб'!H20</f>
        <v>0</v>
      </c>
      <c r="E69" s="849">
        <f>D69/E$3/12</f>
        <v>0</v>
      </c>
      <c r="G69" s="330"/>
      <c r="H69" s="827"/>
    </row>
    <row r="70" spans="1:7" s="39" customFormat="1" ht="30" customHeight="1">
      <c r="A70" s="845" t="s">
        <v>394</v>
      </c>
      <c r="B70" s="846" t="s">
        <v>281</v>
      </c>
      <c r="C70" s="862"/>
      <c r="D70" s="848"/>
      <c r="E70" s="863"/>
      <c r="F70" s="340"/>
      <c r="G70" s="339"/>
    </row>
    <row r="71" spans="1:7" ht="29.25" customHeight="1">
      <c r="A71" s="850" t="s">
        <v>572</v>
      </c>
      <c r="B71" s="651" t="s">
        <v>280</v>
      </c>
      <c r="C71" s="851" t="s">
        <v>268</v>
      </c>
      <c r="D71" s="848">
        <f>профраб!I28</f>
        <v>20977.61651232877</v>
      </c>
      <c r="E71" s="849">
        <f>ROUND(D71/E$3/12,2)</f>
        <v>0.12</v>
      </c>
      <c r="F71" s="254"/>
      <c r="G71" s="330"/>
    </row>
    <row r="72" spans="1:7" ht="33.75" customHeight="1">
      <c r="A72" s="850" t="s">
        <v>573</v>
      </c>
      <c r="B72" s="651" t="s">
        <v>276</v>
      </c>
      <c r="C72" s="851" t="s">
        <v>355</v>
      </c>
      <c r="D72" s="848">
        <f>профраб!I29</f>
        <v>7488.928021917807</v>
      </c>
      <c r="E72" s="849">
        <f>ROUND(D72/E$3/12,2)</f>
        <v>0.04</v>
      </c>
      <c r="F72" s="254"/>
      <c r="G72" s="330"/>
    </row>
    <row r="73" spans="1:7" ht="33.75" customHeight="1">
      <c r="A73" s="850" t="s">
        <v>574</v>
      </c>
      <c r="B73" s="651" t="s">
        <v>575</v>
      </c>
      <c r="C73" s="851" t="s">
        <v>268</v>
      </c>
      <c r="D73" s="848">
        <f>профраб!I30</f>
        <v>1069.8468602739724</v>
      </c>
      <c r="E73" s="855">
        <f>D73/E$3/12</f>
        <v>0.006114577640955316</v>
      </c>
      <c r="F73" s="254"/>
      <c r="G73" s="330"/>
    </row>
    <row r="74" spans="1:7" ht="39.75" customHeight="1">
      <c r="A74" s="850" t="s">
        <v>576</v>
      </c>
      <c r="B74" s="651" t="s">
        <v>271</v>
      </c>
      <c r="C74" s="851" t="s">
        <v>268</v>
      </c>
      <c r="D74" s="848">
        <f>профраб!I31</f>
        <v>0</v>
      </c>
      <c r="E74" s="849">
        <f aca="true" t="shared" si="1" ref="E74:E79">ROUND(D74/E$3/12,2)</f>
        <v>0</v>
      </c>
      <c r="F74" s="254"/>
      <c r="G74" s="330"/>
    </row>
    <row r="75" spans="1:7" ht="42" customHeight="1">
      <c r="A75" s="850" t="s">
        <v>577</v>
      </c>
      <c r="B75" s="651" t="s">
        <v>376</v>
      </c>
      <c r="C75" s="851" t="s">
        <v>270</v>
      </c>
      <c r="D75" s="848">
        <f>профраб!I32+профраб!I33</f>
        <v>21544.49435178082</v>
      </c>
      <c r="E75" s="849">
        <f t="shared" si="1"/>
        <v>0.12</v>
      </c>
      <c r="F75" s="254"/>
      <c r="G75" s="330"/>
    </row>
    <row r="76" spans="1:7" ht="29.25" customHeight="1">
      <c r="A76" s="850" t="s">
        <v>578</v>
      </c>
      <c r="B76" s="651" t="s">
        <v>278</v>
      </c>
      <c r="C76" s="851" t="s">
        <v>171</v>
      </c>
      <c r="D76" s="848">
        <f>профраб!I34</f>
        <v>3522.0348493150686</v>
      </c>
      <c r="E76" s="849">
        <f t="shared" si="1"/>
        <v>0.02</v>
      </c>
      <c r="F76" s="254"/>
      <c r="G76" s="330"/>
    </row>
    <row r="77" spans="1:7" ht="40.5" customHeight="1">
      <c r="A77" s="850" t="s">
        <v>579</v>
      </c>
      <c r="B77" s="651" t="s">
        <v>277</v>
      </c>
      <c r="C77" s="851" t="s">
        <v>270</v>
      </c>
      <c r="D77" s="848">
        <f>профраб!I35</f>
        <v>5179.46301369863</v>
      </c>
      <c r="E77" s="849">
        <f t="shared" si="1"/>
        <v>0.03</v>
      </c>
      <c r="F77" s="254"/>
      <c r="G77" s="330"/>
    </row>
    <row r="78" spans="1:7" ht="29.25" customHeight="1">
      <c r="A78" s="850" t="s">
        <v>580</v>
      </c>
      <c r="B78" s="651" t="s">
        <v>412</v>
      </c>
      <c r="C78" s="851" t="s">
        <v>171</v>
      </c>
      <c r="D78" s="848">
        <f>профраб!I36</f>
        <v>51803.60787287671</v>
      </c>
      <c r="E78" s="855">
        <f t="shared" si="1"/>
        <v>0.3</v>
      </c>
      <c r="F78" s="254"/>
      <c r="G78" s="330"/>
    </row>
    <row r="79" spans="1:7" ht="28.5" customHeight="1">
      <c r="A79" s="850" t="s">
        <v>581</v>
      </c>
      <c r="B79" s="651" t="s">
        <v>279</v>
      </c>
      <c r="C79" s="851" t="s">
        <v>171</v>
      </c>
      <c r="D79" s="848">
        <f>профраб!I37</f>
        <v>8558.77488219178</v>
      </c>
      <c r="E79" s="849">
        <f t="shared" si="1"/>
        <v>0.05</v>
      </c>
      <c r="F79" s="254"/>
      <c r="G79" s="330"/>
    </row>
    <row r="80" spans="1:7" s="39" customFormat="1" ht="24.75" customHeight="1">
      <c r="A80" s="845" t="s">
        <v>395</v>
      </c>
      <c r="B80" s="846" t="s">
        <v>381</v>
      </c>
      <c r="C80" s="864"/>
      <c r="D80" s="865"/>
      <c r="E80" s="849"/>
      <c r="G80" s="339"/>
    </row>
    <row r="81" spans="1:7" s="39" customFormat="1" ht="28.5" customHeight="1">
      <c r="A81" s="850" t="s">
        <v>401</v>
      </c>
      <c r="B81" s="651" t="str">
        <f>'[1]Проф раб'!C7</f>
        <v>Очистка техэтажей от мусора со сбором его в тару и отноской в установленное место</v>
      </c>
      <c r="C81" s="851" t="s">
        <v>268</v>
      </c>
      <c r="D81" s="848">
        <f>профраб!I7</f>
        <v>3209.540580821918</v>
      </c>
      <c r="E81" s="849">
        <f aca="true" t="shared" si="2" ref="E81:E88">ROUND(D81/E$3/12,2)</f>
        <v>0.02</v>
      </c>
      <c r="G81" s="339"/>
    </row>
    <row r="82" spans="1:7" ht="21.75" customHeight="1">
      <c r="A82" s="850" t="s">
        <v>522</v>
      </c>
      <c r="B82" s="651" t="s">
        <v>167</v>
      </c>
      <c r="C82" s="851" t="s">
        <v>268</v>
      </c>
      <c r="D82" s="848">
        <f>профраб!I8</f>
        <v>4297.055164931507</v>
      </c>
      <c r="E82" s="849">
        <f t="shared" si="2"/>
        <v>0.02</v>
      </c>
      <c r="F82" s="254"/>
      <c r="G82" s="330"/>
    </row>
    <row r="83" spans="1:7" ht="16.5" customHeight="1">
      <c r="A83" s="850" t="s">
        <v>523</v>
      </c>
      <c r="B83" s="651" t="s">
        <v>168</v>
      </c>
      <c r="C83" s="851" t="s">
        <v>268</v>
      </c>
      <c r="D83" s="848">
        <f>профраб!I9</f>
        <v>28647.034432876713</v>
      </c>
      <c r="E83" s="849">
        <f t="shared" si="2"/>
        <v>0.16</v>
      </c>
      <c r="F83" s="254"/>
      <c r="G83" s="330"/>
    </row>
    <row r="84" spans="1:7" ht="18" customHeight="1">
      <c r="A84" s="850" t="s">
        <v>524</v>
      </c>
      <c r="B84" s="651" t="s">
        <v>115</v>
      </c>
      <c r="C84" s="851" t="s">
        <v>202</v>
      </c>
      <c r="D84" s="848">
        <f>профраб!I18</f>
        <v>19192.787945205477</v>
      </c>
      <c r="E84" s="849">
        <f t="shared" si="2"/>
        <v>0.11</v>
      </c>
      <c r="F84" s="254"/>
      <c r="G84" s="330"/>
    </row>
    <row r="85" spans="1:7" ht="16.5" customHeight="1">
      <c r="A85" s="850" t="s">
        <v>525</v>
      </c>
      <c r="B85" s="651" t="s">
        <v>120</v>
      </c>
      <c r="C85" s="851" t="s">
        <v>268</v>
      </c>
      <c r="D85" s="848">
        <f>профраб!I19</f>
        <v>70388.90235616438</v>
      </c>
      <c r="E85" s="855">
        <f t="shared" si="2"/>
        <v>0.4</v>
      </c>
      <c r="F85" s="254"/>
      <c r="G85" s="330"/>
    </row>
    <row r="86" spans="1:7" ht="18.75" customHeight="1">
      <c r="A86" s="850" t="s">
        <v>526</v>
      </c>
      <c r="B86" s="651" t="s">
        <v>285</v>
      </c>
      <c r="C86" s="851" t="s">
        <v>268</v>
      </c>
      <c r="D86" s="848">
        <f>профраб!I20</f>
        <v>2796.9100273972604</v>
      </c>
      <c r="E86" s="849">
        <f t="shared" si="2"/>
        <v>0.02</v>
      </c>
      <c r="F86" s="254"/>
      <c r="G86" s="330"/>
    </row>
    <row r="87" spans="1:7" ht="15.75" customHeight="1">
      <c r="A87" s="850" t="s">
        <v>582</v>
      </c>
      <c r="B87" s="651" t="s">
        <v>583</v>
      </c>
      <c r="C87" s="851"/>
      <c r="D87" s="848"/>
      <c r="E87" s="849">
        <f t="shared" si="2"/>
        <v>0</v>
      </c>
      <c r="F87" s="254"/>
      <c r="G87" s="330"/>
    </row>
    <row r="88" spans="1:7" ht="18.75" customHeight="1">
      <c r="A88" s="850" t="s">
        <v>584</v>
      </c>
      <c r="B88" s="651" t="s">
        <v>399</v>
      </c>
      <c r="C88" s="851" t="s">
        <v>268</v>
      </c>
      <c r="D88" s="848"/>
      <c r="E88" s="849">
        <f t="shared" si="2"/>
        <v>0</v>
      </c>
      <c r="F88" s="254"/>
      <c r="G88" s="330"/>
    </row>
    <row r="89" spans="1:7" ht="21" customHeight="1">
      <c r="A89" s="935" t="s">
        <v>380</v>
      </c>
      <c r="B89" s="936"/>
      <c r="C89" s="936"/>
      <c r="D89" s="936"/>
      <c r="E89" s="937"/>
      <c r="F89" s="254"/>
      <c r="G89" s="330"/>
    </row>
    <row r="90" spans="1:7" s="254" customFormat="1" ht="24.75" customHeight="1">
      <c r="A90" s="850" t="s">
        <v>530</v>
      </c>
      <c r="B90" s="651" t="s">
        <v>400</v>
      </c>
      <c r="C90" s="851" t="s">
        <v>288</v>
      </c>
      <c r="D90" s="848">
        <f>'ВСЕ раб'!H27</f>
        <v>5000</v>
      </c>
      <c r="E90" s="855">
        <f aca="true" t="shared" si="3" ref="E90:E95">ROUND(D90/E$3/12,2)</f>
        <v>0.03</v>
      </c>
      <c r="G90" s="330"/>
    </row>
    <row r="91" spans="1:7" ht="27.75" customHeight="1">
      <c r="A91" s="850" t="s">
        <v>510</v>
      </c>
      <c r="B91" s="356" t="s">
        <v>554</v>
      </c>
      <c r="C91" s="786"/>
      <c r="D91" s="848">
        <f>'ВСЕ раб'!H28</f>
        <v>10000</v>
      </c>
      <c r="E91" s="855">
        <f t="shared" si="3"/>
        <v>0.06</v>
      </c>
      <c r="F91" s="254"/>
      <c r="G91" s="330"/>
    </row>
    <row r="92" spans="1:7" ht="12.75" customHeight="1">
      <c r="A92" s="850" t="s">
        <v>531</v>
      </c>
      <c r="B92" s="356" t="s">
        <v>548</v>
      </c>
      <c r="C92" s="533" t="s">
        <v>585</v>
      </c>
      <c r="D92" s="848">
        <f>'ВСЕ раб'!H29</f>
        <v>30444.19</v>
      </c>
      <c r="E92" s="855">
        <f t="shared" si="3"/>
        <v>0.17</v>
      </c>
      <c r="F92" s="254"/>
      <c r="G92" s="330"/>
    </row>
    <row r="93" spans="1:7" ht="19.5" customHeight="1">
      <c r="A93" s="850" t="s">
        <v>532</v>
      </c>
      <c r="B93" s="356" t="s">
        <v>564</v>
      </c>
      <c r="C93" s="851" t="s">
        <v>269</v>
      </c>
      <c r="D93" s="866">
        <f>'ВСЕ раб'!H30</f>
        <v>20296.13</v>
      </c>
      <c r="E93" s="855">
        <f t="shared" si="3"/>
        <v>0.12</v>
      </c>
      <c r="F93" s="254"/>
      <c r="G93" s="330"/>
    </row>
    <row r="94" spans="1:7" ht="42.75" customHeight="1">
      <c r="A94" s="850" t="s">
        <v>547</v>
      </c>
      <c r="B94" s="356" t="s">
        <v>565</v>
      </c>
      <c r="C94" s="851" t="s">
        <v>269</v>
      </c>
      <c r="D94" s="866">
        <f>'ВСЕ раб'!H31</f>
        <v>575390</v>
      </c>
      <c r="E94" s="855">
        <f t="shared" si="3"/>
        <v>3.29</v>
      </c>
      <c r="F94" s="254"/>
      <c r="G94" s="330"/>
    </row>
    <row r="95" spans="1:7" ht="18.75" customHeight="1" thickBot="1">
      <c r="A95" s="867" t="s">
        <v>555</v>
      </c>
      <c r="B95" s="409" t="s">
        <v>435</v>
      </c>
      <c r="C95" s="868" t="s">
        <v>269</v>
      </c>
      <c r="D95" s="866">
        <f>'ВСЕ раб'!H32</f>
        <v>260450</v>
      </c>
      <c r="E95" s="855">
        <f t="shared" si="3"/>
        <v>1.49</v>
      </c>
      <c r="F95" s="254"/>
      <c r="G95" s="330"/>
    </row>
    <row r="96" spans="1:7" ht="21" customHeight="1" thickBot="1">
      <c r="A96" s="869"/>
      <c r="B96" s="870" t="s">
        <v>187</v>
      </c>
      <c r="C96" s="871"/>
      <c r="D96" s="872">
        <f>D5+D15+D17+D55+D56+D58+D60+D61+D62+D63+D64+D66+D67+D68+D69+D71+D72+D73+D75+D76+D77+D74+D78+D79+D81+D82+D83+D84+D85+D86+D90+D91+D92+D93+D94+D95</f>
        <v>2029372.2967593092</v>
      </c>
      <c r="E96" s="873">
        <f>D96/E3/12</f>
        <v>11.598626805112</v>
      </c>
      <c r="F96" s="827"/>
      <c r="G96" s="330"/>
    </row>
    <row r="97" spans="1:5" ht="12.75">
      <c r="A97" s="874"/>
      <c r="E97" s="876"/>
    </row>
    <row r="98" ht="12.75">
      <c r="E98" s="878"/>
    </row>
    <row r="99" ht="12.75">
      <c r="E99" s="878"/>
    </row>
    <row r="101" ht="12.75">
      <c r="H101" s="826"/>
    </row>
    <row r="111" ht="1.5" customHeight="1"/>
    <row r="112" spans="1:5" ht="30.75" customHeight="1">
      <c r="A112" s="934"/>
      <c r="B112" s="934"/>
      <c r="C112" s="934"/>
      <c r="D112" s="934"/>
      <c r="E112" s="934"/>
    </row>
    <row r="113" spans="1:5" ht="15">
      <c r="A113" s="879"/>
      <c r="B113" s="836"/>
      <c r="C113" s="836"/>
      <c r="D113" s="880"/>
      <c r="E113" s="880"/>
    </row>
    <row r="114" spans="1:5" ht="12.75">
      <c r="A114" s="879"/>
      <c r="B114" s="881"/>
      <c r="C114" s="880"/>
      <c r="D114" s="880"/>
      <c r="E114" s="880"/>
    </row>
    <row r="115" spans="1:5" ht="15">
      <c r="A115" s="941"/>
      <c r="B115" s="942"/>
      <c r="C115" s="942"/>
      <c r="D115" s="942"/>
      <c r="E115" s="942"/>
    </row>
    <row r="116" spans="1:5" ht="13.5">
      <c r="A116" s="883"/>
      <c r="B116" s="884"/>
      <c r="C116" s="885"/>
      <c r="D116" s="886"/>
      <c r="E116" s="885"/>
    </row>
    <row r="117" spans="1:5" ht="12.75">
      <c r="A117" s="887"/>
      <c r="B117" s="733"/>
      <c r="C117" s="888"/>
      <c r="D117" s="889"/>
      <c r="E117" s="890"/>
    </row>
    <row r="118" spans="1:5" ht="12.75">
      <c r="A118" s="887"/>
      <c r="B118" s="733"/>
      <c r="C118" s="888"/>
      <c r="D118" s="889"/>
      <c r="E118" s="890"/>
    </row>
    <row r="119" spans="1:15" ht="15">
      <c r="A119" s="887"/>
      <c r="B119" s="733"/>
      <c r="C119" s="888"/>
      <c r="D119" s="889"/>
      <c r="E119" s="890"/>
      <c r="F119" s="3"/>
      <c r="G119" s="3"/>
      <c r="H119" s="241"/>
      <c r="I119" s="3"/>
      <c r="J119" s="152"/>
      <c r="K119" s="3"/>
      <c r="L119" s="152"/>
      <c r="M119"/>
      <c r="N119" s="3"/>
      <c r="O119" s="411"/>
    </row>
    <row r="120" spans="1:5" ht="12.75">
      <c r="A120" s="887"/>
      <c r="B120" s="733"/>
      <c r="C120" s="888"/>
      <c r="D120" s="889"/>
      <c r="E120" s="890"/>
    </row>
    <row r="121" spans="1:5" ht="12.75">
      <c r="A121" s="887"/>
      <c r="B121" s="733"/>
      <c r="C121" s="888"/>
      <c r="D121" s="889"/>
      <c r="E121" s="890"/>
    </row>
    <row r="122" spans="1:5" ht="12.75">
      <c r="A122" s="887"/>
      <c r="B122" s="733"/>
      <c r="C122" s="888"/>
      <c r="D122" s="889"/>
      <c r="E122" s="890"/>
    </row>
    <row r="123" spans="1:5" ht="13.5">
      <c r="A123" s="887"/>
      <c r="B123" s="733"/>
      <c r="C123" s="888"/>
      <c r="D123" s="886"/>
      <c r="E123" s="891"/>
    </row>
    <row r="124" spans="1:5" ht="15">
      <c r="A124" s="941"/>
      <c r="B124" s="942"/>
      <c r="C124" s="942"/>
      <c r="D124" s="942"/>
      <c r="E124" s="942"/>
    </row>
    <row r="125" spans="1:5" ht="15">
      <c r="A125" s="892"/>
      <c r="B125" s="884"/>
      <c r="C125" s="885"/>
      <c r="D125" s="886"/>
      <c r="E125" s="885"/>
    </row>
    <row r="126" spans="1:5" ht="15">
      <c r="A126" s="892"/>
      <c r="B126" s="893"/>
      <c r="C126" s="894"/>
      <c r="D126" s="895"/>
      <c r="E126" s="894"/>
    </row>
    <row r="127" spans="1:5" ht="12.75">
      <c r="A127" s="931"/>
      <c r="B127" s="733"/>
      <c r="C127" s="888"/>
      <c r="D127" s="932"/>
      <c r="E127" s="933"/>
    </row>
    <row r="128" spans="1:5" ht="12.75">
      <c r="A128" s="931"/>
      <c r="B128" s="733"/>
      <c r="C128" s="888"/>
      <c r="D128" s="932"/>
      <c r="E128" s="933"/>
    </row>
    <row r="129" spans="1:5" ht="12.75">
      <c r="A129" s="931"/>
      <c r="B129" s="733"/>
      <c r="C129" s="888"/>
      <c r="D129" s="932"/>
      <c r="E129" s="933"/>
    </row>
    <row r="130" spans="1:5" ht="12.75">
      <c r="A130" s="931"/>
      <c r="B130" s="733"/>
      <c r="C130" s="888"/>
      <c r="D130" s="932"/>
      <c r="E130" s="933"/>
    </row>
    <row r="131" spans="1:5" ht="12.75">
      <c r="A131" s="931"/>
      <c r="B131" s="733"/>
      <c r="C131" s="888"/>
      <c r="D131" s="932"/>
      <c r="E131" s="933"/>
    </row>
    <row r="132" spans="1:5" ht="12.75">
      <c r="A132" s="931"/>
      <c r="B132" s="733"/>
      <c r="C132" s="888"/>
      <c r="D132" s="932"/>
      <c r="E132" s="933"/>
    </row>
    <row r="133" spans="1:5" ht="12.75">
      <c r="A133" s="931"/>
      <c r="B133" s="733"/>
      <c r="C133" s="888"/>
      <c r="D133" s="932"/>
      <c r="E133" s="933"/>
    </row>
    <row r="134" spans="1:5" ht="12.75">
      <c r="A134" s="931"/>
      <c r="B134" s="733"/>
      <c r="C134" s="888"/>
      <c r="D134" s="932"/>
      <c r="E134" s="933"/>
    </row>
    <row r="135" spans="1:5" ht="12.75">
      <c r="A135" s="931"/>
      <c r="B135" s="733"/>
      <c r="C135" s="888"/>
      <c r="D135" s="932"/>
      <c r="E135" s="933"/>
    </row>
    <row r="136" spans="1:5" ht="12.75">
      <c r="A136" s="931"/>
      <c r="B136" s="733"/>
      <c r="C136" s="888"/>
      <c r="D136" s="932"/>
      <c r="E136" s="933"/>
    </row>
    <row r="137" spans="1:5" ht="12.75">
      <c r="A137" s="931"/>
      <c r="B137" s="733"/>
      <c r="C137" s="888"/>
      <c r="D137" s="932"/>
      <c r="E137" s="933"/>
    </row>
    <row r="138" spans="1:5" ht="12.75">
      <c r="A138" s="931"/>
      <c r="B138" s="733"/>
      <c r="C138" s="888"/>
      <c r="D138" s="932"/>
      <c r="E138" s="933"/>
    </row>
    <row r="139" spans="1:5" ht="12.75">
      <c r="A139" s="931"/>
      <c r="B139" s="733"/>
      <c r="C139" s="888"/>
      <c r="D139" s="932"/>
      <c r="E139" s="933"/>
    </row>
    <row r="140" spans="1:5" ht="12.75">
      <c r="A140" s="931"/>
      <c r="B140" s="733"/>
      <c r="C140" s="888"/>
      <c r="D140" s="932"/>
      <c r="E140" s="933"/>
    </row>
    <row r="141" spans="1:5" ht="12.75">
      <c r="A141" s="931"/>
      <c r="B141" s="733"/>
      <c r="C141" s="888"/>
      <c r="D141" s="932"/>
      <c r="E141" s="933"/>
    </row>
    <row r="142" spans="1:5" ht="12.75">
      <c r="A142" s="887"/>
      <c r="B142" s="733"/>
      <c r="C142" s="888"/>
      <c r="D142" s="889"/>
      <c r="E142" s="888"/>
    </row>
    <row r="143" spans="1:5" ht="12.75">
      <c r="A143" s="887"/>
      <c r="B143" s="733"/>
      <c r="C143" s="888"/>
      <c r="D143" s="889"/>
      <c r="E143" s="888"/>
    </row>
    <row r="144" spans="1:5" ht="12.75">
      <c r="A144" s="887"/>
      <c r="B144" s="733"/>
      <c r="C144" s="888"/>
      <c r="D144" s="889"/>
      <c r="E144" s="888"/>
    </row>
    <row r="145" spans="1:5" ht="12.75">
      <c r="A145" s="887"/>
      <c r="B145" s="733"/>
      <c r="C145" s="888"/>
      <c r="D145" s="889"/>
      <c r="E145" s="888"/>
    </row>
    <row r="146" spans="1:5" ht="15">
      <c r="A146" s="892"/>
      <c r="B146" s="893"/>
      <c r="C146" s="894"/>
      <c r="D146" s="895"/>
      <c r="E146" s="894"/>
    </row>
    <row r="147" spans="1:5" ht="12.75">
      <c r="A147" s="931"/>
      <c r="B147" s="733"/>
      <c r="C147" s="888"/>
      <c r="D147" s="932"/>
      <c r="E147" s="933"/>
    </row>
    <row r="148" spans="1:5" ht="12.75">
      <c r="A148" s="931"/>
      <c r="B148" s="733"/>
      <c r="C148" s="888"/>
      <c r="D148" s="932"/>
      <c r="E148" s="933"/>
    </row>
    <row r="149" spans="1:5" ht="12.75">
      <c r="A149" s="931"/>
      <c r="B149" s="733"/>
      <c r="C149" s="888"/>
      <c r="D149" s="932"/>
      <c r="E149" s="933"/>
    </row>
    <row r="150" spans="1:5" ht="12.75">
      <c r="A150" s="931"/>
      <c r="B150" s="733"/>
      <c r="C150" s="888"/>
      <c r="D150" s="932"/>
      <c r="E150" s="933"/>
    </row>
    <row r="151" spans="1:5" ht="12.75">
      <c r="A151" s="931"/>
      <c r="B151" s="733"/>
      <c r="C151" s="888"/>
      <c r="D151" s="932"/>
      <c r="E151" s="933"/>
    </row>
    <row r="152" spans="1:5" ht="12.75">
      <c r="A152" s="931"/>
      <c r="B152" s="733"/>
      <c r="C152" s="888"/>
      <c r="D152" s="932"/>
      <c r="E152" s="933"/>
    </row>
    <row r="153" spans="1:5" ht="12.75">
      <c r="A153" s="931"/>
      <c r="B153" s="733"/>
      <c r="C153" s="888"/>
      <c r="D153" s="932"/>
      <c r="E153" s="933"/>
    </row>
    <row r="154" spans="1:5" ht="12.75">
      <c r="A154" s="931"/>
      <c r="B154" s="733"/>
      <c r="C154" s="888"/>
      <c r="D154" s="932"/>
      <c r="E154" s="933"/>
    </row>
    <row r="155" spans="1:5" ht="12.75">
      <c r="A155" s="887"/>
      <c r="B155" s="733"/>
      <c r="C155" s="888"/>
      <c r="D155" s="889"/>
      <c r="E155" s="888"/>
    </row>
    <row r="156" spans="1:5" ht="12.75">
      <c r="A156" s="887"/>
      <c r="B156" s="733"/>
      <c r="C156" s="888"/>
      <c r="D156" s="889"/>
      <c r="E156" s="888"/>
    </row>
    <row r="157" spans="1:5" ht="12.75">
      <c r="A157" s="887"/>
      <c r="B157" s="733"/>
      <c r="C157" s="888"/>
      <c r="D157" s="889"/>
      <c r="E157" s="888"/>
    </row>
    <row r="158" spans="1:5" ht="12.75">
      <c r="A158" s="887"/>
      <c r="B158" s="733"/>
      <c r="C158" s="888"/>
      <c r="D158" s="889"/>
      <c r="E158" s="888"/>
    </row>
    <row r="159" spans="1:5" ht="12.75">
      <c r="A159" s="887"/>
      <c r="B159" s="733"/>
      <c r="C159" s="888"/>
      <c r="D159" s="889"/>
      <c r="E159" s="888"/>
    </row>
    <row r="160" spans="1:5" ht="12.75">
      <c r="A160" s="887"/>
      <c r="B160" s="733"/>
      <c r="C160" s="888"/>
      <c r="D160" s="889"/>
      <c r="E160" s="888"/>
    </row>
    <row r="161" spans="1:5" ht="12.75">
      <c r="A161" s="887"/>
      <c r="B161" s="733"/>
      <c r="C161" s="888"/>
      <c r="D161" s="889"/>
      <c r="E161" s="888"/>
    </row>
    <row r="162" spans="1:5" ht="12.75">
      <c r="A162" s="887"/>
      <c r="B162" s="733"/>
      <c r="C162" s="888"/>
      <c r="D162" s="889"/>
      <c r="E162" s="888"/>
    </row>
    <row r="163" spans="1:5" ht="13.5">
      <c r="A163" s="887"/>
      <c r="B163" s="698"/>
      <c r="C163" s="888"/>
      <c r="D163" s="886"/>
      <c r="E163" s="885"/>
    </row>
    <row r="164" spans="1:5" ht="13.5">
      <c r="A164" s="887"/>
      <c r="B164" s="733"/>
      <c r="C164" s="888"/>
      <c r="D164" s="886"/>
      <c r="E164" s="885"/>
    </row>
    <row r="165" spans="1:5" ht="15">
      <c r="A165" s="941"/>
      <c r="B165" s="942"/>
      <c r="C165" s="942"/>
      <c r="D165" s="942"/>
      <c r="E165" s="942"/>
    </row>
    <row r="166" spans="1:5" ht="13.5">
      <c r="A166" s="887"/>
      <c r="B166" s="733"/>
      <c r="C166" s="888"/>
      <c r="D166" s="886"/>
      <c r="E166" s="885"/>
    </row>
    <row r="167" spans="1:5" ht="13.5">
      <c r="A167" s="887"/>
      <c r="B167" s="733"/>
      <c r="C167" s="888"/>
      <c r="D167" s="886"/>
      <c r="E167" s="885"/>
    </row>
    <row r="168" spans="1:5" ht="13.5">
      <c r="A168" s="887"/>
      <c r="B168" s="733"/>
      <c r="C168" s="888"/>
      <c r="D168" s="886"/>
      <c r="E168" s="885"/>
    </row>
    <row r="169" spans="1:5" ht="13.5">
      <c r="A169" s="887"/>
      <c r="B169" s="733"/>
      <c r="C169" s="888"/>
      <c r="D169" s="886"/>
      <c r="E169" s="885"/>
    </row>
    <row r="170" spans="1:5" ht="13.5">
      <c r="A170" s="887"/>
      <c r="B170" s="733"/>
      <c r="C170" s="888"/>
      <c r="D170" s="886"/>
      <c r="E170" s="885"/>
    </row>
    <row r="171" spans="1:5" ht="13.5">
      <c r="A171" s="887"/>
      <c r="B171" s="733"/>
      <c r="C171" s="888"/>
      <c r="D171" s="886"/>
      <c r="E171" s="896"/>
    </row>
    <row r="172" spans="1:5" ht="13.5">
      <c r="A172" s="887"/>
      <c r="B172" s="733"/>
      <c r="C172" s="888"/>
      <c r="D172" s="886"/>
      <c r="E172" s="885"/>
    </row>
    <row r="173" spans="1:5" ht="15">
      <c r="A173" s="941"/>
      <c r="B173" s="942"/>
      <c r="C173" s="942"/>
      <c r="D173" s="942"/>
      <c r="E173" s="942"/>
    </row>
    <row r="174" spans="1:5" ht="13.5">
      <c r="A174" s="887"/>
      <c r="B174" s="733"/>
      <c r="C174" s="888"/>
      <c r="D174" s="886"/>
      <c r="E174" s="885"/>
    </row>
    <row r="175" spans="1:5" ht="13.5">
      <c r="A175" s="887"/>
      <c r="B175" s="733"/>
      <c r="C175" s="888"/>
      <c r="D175" s="886"/>
      <c r="E175" s="885"/>
    </row>
    <row r="176" spans="1:5" ht="13.5">
      <c r="A176" s="887"/>
      <c r="B176" s="733"/>
      <c r="C176" s="888"/>
      <c r="D176" s="886"/>
      <c r="E176" s="885"/>
    </row>
    <row r="177" spans="1:5" ht="13.5">
      <c r="A177" s="887"/>
      <c r="B177" s="698"/>
      <c r="C177" s="888"/>
      <c r="D177" s="886"/>
      <c r="E177" s="885"/>
    </row>
    <row r="178" spans="1:5" ht="13.5">
      <c r="A178" s="883"/>
      <c r="B178" s="884"/>
      <c r="C178" s="897"/>
      <c r="D178" s="898"/>
      <c r="E178" s="898"/>
    </row>
    <row r="179" spans="1:5" ht="13.5">
      <c r="A179" s="887"/>
      <c r="B179" s="733"/>
      <c r="C179" s="888"/>
      <c r="D179" s="886"/>
      <c r="E179" s="885"/>
    </row>
    <row r="180" spans="1:5" ht="13.5">
      <c r="A180" s="887"/>
      <c r="B180" s="733"/>
      <c r="C180" s="888"/>
      <c r="D180" s="886"/>
      <c r="E180" s="885"/>
    </row>
    <row r="181" spans="1:5" ht="13.5">
      <c r="A181" s="887"/>
      <c r="B181" s="733"/>
      <c r="C181" s="888"/>
      <c r="D181" s="886"/>
      <c r="E181" s="885"/>
    </row>
    <row r="182" spans="1:5" ht="13.5">
      <c r="A182" s="887"/>
      <c r="B182" s="733"/>
      <c r="C182" s="888"/>
      <c r="D182" s="886"/>
      <c r="E182" s="885"/>
    </row>
    <row r="183" spans="1:5" ht="13.5">
      <c r="A183" s="887"/>
      <c r="B183" s="733"/>
      <c r="C183" s="888"/>
      <c r="D183" s="886"/>
      <c r="E183" s="885"/>
    </row>
    <row r="184" spans="1:5" ht="13.5">
      <c r="A184" s="887"/>
      <c r="B184" s="733"/>
      <c r="C184" s="888"/>
      <c r="D184" s="886"/>
      <c r="E184" s="885"/>
    </row>
    <row r="185" spans="1:5" ht="13.5">
      <c r="A185" s="887"/>
      <c r="B185" s="733"/>
      <c r="C185" s="888"/>
      <c r="D185" s="886"/>
      <c r="E185" s="885"/>
    </row>
    <row r="186" spans="1:5" ht="13.5">
      <c r="A186" s="887"/>
      <c r="B186" s="733"/>
      <c r="C186" s="888"/>
      <c r="D186" s="886"/>
      <c r="E186" s="885"/>
    </row>
    <row r="187" spans="1:5" ht="13.5">
      <c r="A187" s="883"/>
      <c r="B187" s="884"/>
      <c r="C187" s="899"/>
      <c r="D187" s="898"/>
      <c r="E187" s="885"/>
    </row>
    <row r="188" spans="1:5" ht="13.5">
      <c r="A188" s="887"/>
      <c r="B188" s="733"/>
      <c r="C188" s="888"/>
      <c r="D188" s="886"/>
      <c r="E188" s="885"/>
    </row>
    <row r="189" spans="1:5" ht="13.5">
      <c r="A189" s="887"/>
      <c r="B189" s="733"/>
      <c r="C189" s="888"/>
      <c r="D189" s="886"/>
      <c r="E189" s="885"/>
    </row>
    <row r="190" spans="1:5" ht="13.5">
      <c r="A190" s="887"/>
      <c r="B190" s="733"/>
      <c r="C190" s="888"/>
      <c r="D190" s="886"/>
      <c r="E190" s="885"/>
    </row>
    <row r="191" spans="1:5" ht="13.5">
      <c r="A191" s="887"/>
      <c r="B191" s="733"/>
      <c r="C191" s="888"/>
      <c r="D191" s="886"/>
      <c r="E191" s="885"/>
    </row>
    <row r="192" spans="1:5" ht="13.5">
      <c r="A192" s="887"/>
      <c r="B192" s="733"/>
      <c r="C192" s="888"/>
      <c r="D192" s="886"/>
      <c r="E192" s="885"/>
    </row>
    <row r="193" spans="1:5" ht="13.5">
      <c r="A193" s="887"/>
      <c r="B193" s="733"/>
      <c r="C193" s="888"/>
      <c r="D193" s="886"/>
      <c r="E193" s="885"/>
    </row>
    <row r="194" spans="1:5" ht="13.5">
      <c r="A194" s="887"/>
      <c r="B194" s="733"/>
      <c r="C194" s="888"/>
      <c r="D194" s="886"/>
      <c r="E194" s="885"/>
    </row>
    <row r="195" spans="1:5" ht="13.5">
      <c r="A195" s="887"/>
      <c r="B195" s="733"/>
      <c r="C195" s="888"/>
      <c r="D195" s="886"/>
      <c r="E195" s="885"/>
    </row>
    <row r="196" spans="1:5" ht="13.5">
      <c r="A196" s="887"/>
      <c r="B196" s="733"/>
      <c r="C196" s="888"/>
      <c r="D196" s="886"/>
      <c r="E196" s="885"/>
    </row>
    <row r="197" spans="1:5" ht="13.5">
      <c r="A197" s="887"/>
      <c r="B197" s="733"/>
      <c r="C197" s="888"/>
      <c r="D197" s="886"/>
      <c r="E197" s="885"/>
    </row>
    <row r="198" spans="1:5" ht="15">
      <c r="A198" s="941"/>
      <c r="B198" s="942"/>
      <c r="C198" s="942"/>
      <c r="D198" s="942"/>
      <c r="E198" s="942"/>
    </row>
    <row r="199" spans="1:5" ht="13.5">
      <c r="A199" s="887"/>
      <c r="B199" s="733"/>
      <c r="C199" s="888"/>
      <c r="D199" s="886"/>
      <c r="E199" s="885"/>
    </row>
    <row r="200" spans="1:5" ht="13.5">
      <c r="A200" s="887"/>
      <c r="B200" s="733"/>
      <c r="C200" s="888"/>
      <c r="D200" s="886"/>
      <c r="E200" s="885"/>
    </row>
    <row r="201" spans="1:5" ht="13.5">
      <c r="A201" s="887"/>
      <c r="B201" s="733"/>
      <c r="C201" s="888"/>
      <c r="D201" s="886"/>
      <c r="E201" s="885"/>
    </row>
    <row r="202" spans="1:5" ht="13.5">
      <c r="A202" s="887"/>
      <c r="B202" s="733"/>
      <c r="C202" s="888"/>
      <c r="D202" s="886"/>
      <c r="E202" s="885"/>
    </row>
    <row r="203" spans="1:5" ht="13.5">
      <c r="A203" s="887"/>
      <c r="B203" s="733"/>
      <c r="C203" s="888"/>
      <c r="D203" s="886"/>
      <c r="E203" s="885"/>
    </row>
    <row r="204" spans="1:5" ht="13.5">
      <c r="A204" s="887"/>
      <c r="B204" s="733"/>
      <c r="C204" s="888"/>
      <c r="D204" s="886"/>
      <c r="E204" s="885"/>
    </row>
    <row r="205" spans="1:5" ht="13.5">
      <c r="A205" s="887"/>
      <c r="B205" s="733"/>
      <c r="C205" s="888"/>
      <c r="D205" s="886"/>
      <c r="E205" s="885"/>
    </row>
    <row r="206" spans="1:5" ht="13.5">
      <c r="A206" s="887"/>
      <c r="B206" s="733"/>
      <c r="C206" s="888"/>
      <c r="D206" s="886"/>
      <c r="E206" s="885"/>
    </row>
    <row r="207" spans="1:5" ht="15">
      <c r="A207" s="882"/>
      <c r="B207" s="900"/>
      <c r="C207" s="836"/>
      <c r="D207" s="901"/>
      <c r="E207" s="902"/>
    </row>
  </sheetData>
  <sheetProtection/>
  <mergeCells count="66">
    <mergeCell ref="A153:A154"/>
    <mergeCell ref="D153:D154"/>
    <mergeCell ref="E153:E154"/>
    <mergeCell ref="A165:E165"/>
    <mergeCell ref="A173:E173"/>
    <mergeCell ref="A198:E198"/>
    <mergeCell ref="D139:D141"/>
    <mergeCell ref="E139:E141"/>
    <mergeCell ref="A147:A149"/>
    <mergeCell ref="D147:D149"/>
    <mergeCell ref="E147:E149"/>
    <mergeCell ref="A150:A152"/>
    <mergeCell ref="D150:D152"/>
    <mergeCell ref="E150:E152"/>
    <mergeCell ref="D132:D133"/>
    <mergeCell ref="E132:E133"/>
    <mergeCell ref="A134:A135"/>
    <mergeCell ref="D134:D135"/>
    <mergeCell ref="E134:E135"/>
    <mergeCell ref="A136:A138"/>
    <mergeCell ref="D136:D138"/>
    <mergeCell ref="E136:E138"/>
    <mergeCell ref="A57:E57"/>
    <mergeCell ref="A65:E65"/>
    <mergeCell ref="A89:E89"/>
    <mergeCell ref="A112:E112"/>
    <mergeCell ref="A124:E124"/>
    <mergeCell ref="A127:A128"/>
    <mergeCell ref="D127:D128"/>
    <mergeCell ref="E127:E128"/>
    <mergeCell ref="A115:E115"/>
    <mergeCell ref="A42:A44"/>
    <mergeCell ref="D42:D44"/>
    <mergeCell ref="E42:E44"/>
    <mergeCell ref="A45:A46"/>
    <mergeCell ref="D45:D46"/>
    <mergeCell ref="E45:E46"/>
    <mergeCell ref="A31:A33"/>
    <mergeCell ref="D31:D33"/>
    <mergeCell ref="E31:E33"/>
    <mergeCell ref="A39:A41"/>
    <mergeCell ref="D39:D41"/>
    <mergeCell ref="E39:E41"/>
    <mergeCell ref="A26:A27"/>
    <mergeCell ref="D26:D27"/>
    <mergeCell ref="E26:E27"/>
    <mergeCell ref="A28:A30"/>
    <mergeCell ref="D28:D30"/>
    <mergeCell ref="E28:E30"/>
    <mergeCell ref="A21:A23"/>
    <mergeCell ref="D21:D23"/>
    <mergeCell ref="E21:E23"/>
    <mergeCell ref="A4:E4"/>
    <mergeCell ref="D24:D25"/>
    <mergeCell ref="E24:E25"/>
    <mergeCell ref="A24:A25"/>
    <mergeCell ref="A129:A131"/>
    <mergeCell ref="D129:D131"/>
    <mergeCell ref="E129:E131"/>
    <mergeCell ref="A132:A133"/>
    <mergeCell ref="A139:A141"/>
    <mergeCell ref="A1:E1"/>
    <mergeCell ref="A16:E16"/>
    <mergeCell ref="A19:A20"/>
    <mergeCell ref="D19:D20"/>
    <mergeCell ref="E19:E20"/>
  </mergeCells>
  <printOptions/>
  <pageMargins left="0.7874015748031497" right="0.3937007874015748" top="0.31" bottom="0.31" header="0.31496062992125984" footer="0.31"/>
  <pageSetup horizontalDpi="600" verticalDpi="600" orientation="portrait" paperSize="9" scale="73" r:id="rId1"/>
  <headerFooter alignWithMargins="0">
    <oddFooter>&amp;CСтраница &amp;P из &amp;N</oddFooter>
  </headerFooter>
  <rowBreaks count="2" manualBreakCount="2">
    <brk id="53" max="4" man="1"/>
    <brk id="9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B38" sqref="B38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658" t="s">
        <v>537</v>
      </c>
      <c r="C1" s="659"/>
      <c r="D1" s="666"/>
      <c r="E1" s="666"/>
    </row>
    <row r="2" spans="2:5" ht="12.75">
      <c r="B2" s="658" t="s">
        <v>538</v>
      </c>
      <c r="C2" s="659"/>
      <c r="D2" s="666"/>
      <c r="E2" s="666"/>
    </row>
    <row r="3" spans="2:5" ht="12.75">
      <c r="B3" s="660"/>
      <c r="C3" s="660"/>
      <c r="D3" s="667"/>
      <c r="E3" s="667"/>
    </row>
    <row r="4" spans="2:5" ht="39">
      <c r="B4" s="661" t="s">
        <v>539</v>
      </c>
      <c r="C4" s="660"/>
      <c r="D4" s="667"/>
      <c r="E4" s="667"/>
    </row>
    <row r="5" spans="2:5" ht="12.75">
      <c r="B5" s="660"/>
      <c r="C5" s="660"/>
      <c r="D5" s="667"/>
      <c r="E5" s="667"/>
    </row>
    <row r="6" spans="2:5" ht="26.25">
      <c r="B6" s="658" t="s">
        <v>540</v>
      </c>
      <c r="C6" s="659"/>
      <c r="D6" s="666"/>
      <c r="E6" s="668" t="s">
        <v>541</v>
      </c>
    </row>
    <row r="7" spans="2:5" ht="13.5" thickBot="1">
      <c r="B7" s="660"/>
      <c r="C7" s="660"/>
      <c r="D7" s="667"/>
      <c r="E7" s="667"/>
    </row>
    <row r="8" spans="2:5" ht="39">
      <c r="B8" s="662" t="s">
        <v>542</v>
      </c>
      <c r="C8" s="663"/>
      <c r="D8" s="669"/>
      <c r="E8" s="670">
        <v>1</v>
      </c>
    </row>
    <row r="9" spans="2:5" ht="13.5" thickBot="1">
      <c r="B9" s="664"/>
      <c r="C9" s="665"/>
      <c r="D9" s="671"/>
      <c r="E9" s="672" t="s">
        <v>543</v>
      </c>
    </row>
    <row r="10" spans="2:5" ht="12.75">
      <c r="B10" s="660"/>
      <c r="C10" s="660"/>
      <c r="D10" s="667"/>
      <c r="E10" s="667"/>
    </row>
    <row r="11" spans="2:5" ht="12.75">
      <c r="B11" s="660"/>
      <c r="C11" s="660"/>
      <c r="D11" s="667"/>
      <c r="E11" s="667"/>
    </row>
  </sheetData>
  <sheetProtection/>
  <hyperlinks>
    <hyperlink ref="E9" location="'Обязат'!B77" display="'Обязат'!B7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2015-01-12T11:54:41Z</cp:lastPrinted>
  <dcterms:created xsi:type="dcterms:W3CDTF">2007-07-20T13:26:54Z</dcterms:created>
  <dcterms:modified xsi:type="dcterms:W3CDTF">2015-01-30T12:28:24Z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