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96" yWindow="65488" windowWidth="11136" windowHeight="12312" firstSheet="5" activeTab="5"/>
  </bookViews>
  <sheets>
    <sheet name="Исход дан" sheetId="1" state="hidden" r:id="rId1"/>
    <sheet name="сан содерж" sheetId="2" state="hidden" r:id="rId2"/>
    <sheet name="спец инв" sheetId="3" state="hidden" r:id="rId3"/>
    <sheet name="профраб" sheetId="4" state="hidden" r:id="rId4"/>
    <sheet name="ВСЕ раб" sheetId="5" state="hidden" r:id="rId5"/>
    <sheet name="Апанасенко 56а" sheetId="6" r:id="rId6"/>
    <sheet name="Лист1" sheetId="7" state="hidden" r:id="rId7"/>
  </sheets>
  <externalReferences>
    <externalReference r:id="rId10"/>
  </externalReferences>
  <definedNames>
    <definedName name="_xlnm.Print_Titles" localSheetId="5">'Апанасенко 56а'!$2:$2</definedName>
    <definedName name="_xlnm.Print_Titles" localSheetId="4">'ВСЕ раб'!$2:$5</definedName>
    <definedName name="_xlnm.Print_Titles" localSheetId="0">'Исход дан'!$8:$9</definedName>
    <definedName name="_xlnm.Print_Titles" localSheetId="1">'сан содерж'!$1:$6</definedName>
    <definedName name="_xlnm.Print_Titles" localSheetId="2">'спец инв'!$1:$5</definedName>
    <definedName name="_xlnm.Print_Area" localSheetId="5">'Апанасенко 56а'!$A$1:$E$100</definedName>
    <definedName name="_xlnm.Print_Area" localSheetId="4">'ВСЕ раб'!$A$1:$O$32</definedName>
    <definedName name="_xlnm.Print_Area" localSheetId="3">'профраб'!$A$1:$J$43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<sst xmlns="http://schemas.openxmlformats.org/spreadsheetml/2006/main" count="964" uniqueCount="577">
  <si>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</si>
  <si>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</si>
  <si>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</si>
  <si>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</si>
  <si>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</si>
  <si>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</si>
  <si>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</si>
  <si>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</si>
  <si>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</si>
  <si>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</si>
  <si>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</si>
  <si>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</si>
  <si>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</si>
  <si>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</si>
  <si>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</si>
  <si>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</si>
  <si>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</si>
  <si>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</si>
  <si>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</si>
  <si>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</si>
  <si>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</si>
  <si>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</si>
  <si>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</si>
  <si>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</si>
  <si>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</si>
  <si>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</si>
  <si>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</si>
  <si>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</si>
  <si>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</si>
  <si>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</si>
  <si>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</si>
  <si>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</si>
  <si>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</si>
  <si>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</si>
  <si>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штыковая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</si>
  <si>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</si>
  <si>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</si>
  <si>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</si>
  <si>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</si>
  <si>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</si>
  <si>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</si>
  <si>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</si>
  <si>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</si>
  <si>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</si>
  <si>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</si>
  <si>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</si>
  <si>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</si>
  <si>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</si>
  <si>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</si>
  <si>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</si>
  <si>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</si>
  <si>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</si>
  <si>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</si>
  <si>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</si>
  <si>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</si>
  <si>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</si>
  <si>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</si>
  <si>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</si>
  <si>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</si>
  <si>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</si>
  <si>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</si>
  <si>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</si>
  <si>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</si>
  <si>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</si>
  <si>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</si>
  <si>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</si>
  <si>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</si>
  <si>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</si>
  <si>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</si>
  <si>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</si>
  <si>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</si>
  <si>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</si>
  <si>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</si>
  <si>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</si>
  <si>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</si>
  <si>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</si>
  <si>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</si>
  <si>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</si>
  <si>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</si>
  <si>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</si>
  <si>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</si>
  <si>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</si>
  <si>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</si>
  <si>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</si>
  <si>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</si>
  <si>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</si>
  <si>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</si>
  <si>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</si>
  <si>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</si>
  <si>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</si>
  <si>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</si>
  <si>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</si>
  <si>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</si>
  <si>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</si>
  <si>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</si>
  <si>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</si>
  <si>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</si>
  <si>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</si>
  <si>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</si>
  <si>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</si>
  <si>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</si>
  <si>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</si>
  <si>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</si>
  <si>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</si>
  <si>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</si>
  <si>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</si>
  <si>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</si>
  <si>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</si>
  <si>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</si>
  <si>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</si>
  <si>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</si>
  <si>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</si>
  <si>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</si>
  <si>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</si>
  <si>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</si>
  <si>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</si>
  <si>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</si>
  <si>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</si>
  <si>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</si>
  <si>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</si>
  <si>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</si>
  <si>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</si>
  <si>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</si>
  <si>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</si>
  <si>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</si>
  <si>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</si>
  <si>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</si>
  <si>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</si>
  <si>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</si>
  <si>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</si>
  <si>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</si>
  <si>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</si>
  <si>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</si>
  <si>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</si>
  <si>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</si>
  <si>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</si>
  <si>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</si>
  <si>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электромотор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</si>
  <si>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</si>
  <si>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</si>
  <si>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</si>
  <si>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</si>
  <si>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</si>
  <si>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</si>
  <si>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</si>
  <si>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</si>
  <si>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</si>
  <si>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</si>
  <si>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</si>
  <si>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</si>
  <si>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</si>
  <si>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</si>
  <si>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</si>
  <si>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</si>
  <si>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</si>
  <si>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</si>
  <si>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</si>
  <si>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</si>
  <si>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</si>
  <si>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</si>
  <si>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</si>
  <si>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</si>
  <si>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</si>
  <si>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</si>
  <si>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</si>
  <si>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</si>
  <si>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</si>
  <si>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</si>
  <si>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</si>
  <si>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</si>
  <si>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</si>
  <si>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</si>
  <si>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</si>
  <si>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</si>
  <si>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</si>
  <si>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</si>
  <si>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</si>
  <si>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</si>
  <si>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</si>
  <si>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</si>
  <si>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</si>
  <si>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</si>
  <si>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</si>
  <si>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</si>
  <si>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</si>
  <si>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</si>
  <si>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</si>
  <si>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</si>
  <si>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</si>
  <si>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</si>
  <si>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</si>
  <si>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</si>
  <si>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</si>
  <si>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</si>
  <si>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</si>
  <si>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</si>
  <si>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</si>
  <si>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</si>
  <si>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</si>
  <si>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</si>
  <si>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1.1.</t>
  </si>
  <si>
    <t>5 раз в неделю</t>
  </si>
  <si>
    <t>2 раза в месяц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</si>
  <si>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</si>
  <si>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</si>
  <si>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</si>
  <si>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</si>
  <si>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</si>
  <si>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</si>
  <si>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</si>
  <si>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</si>
  <si>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</si>
  <si>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</si>
  <si>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</si>
  <si>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</si>
  <si>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 раза в сутки в дни снегопада</t>
  </si>
  <si>
    <t>б) Тоже, на территориях 3 класса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</si>
  <si>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</si>
  <si>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</si>
  <si>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</si>
  <si>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</si>
  <si>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>в) Тоже, на территориях 3 класса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</si>
  <si>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</si>
  <si>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</si>
  <si>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</si>
  <si>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 раза в сутки во время гололеда</t>
  </si>
  <si>
    <t>б) Тоже, на территориях 2,3 классов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</si>
  <si>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</si>
  <si>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</si>
  <si>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сутки в дни без снегопада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</si>
  <si>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</si>
  <si>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</si>
  <si>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</si>
  <si>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 во время гололеда</t>
  </si>
  <si>
    <t>б) Тоже, на территориях 2 класса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</si>
  <si>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</si>
  <si>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</si>
  <si>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</si>
  <si>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</si>
  <si>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</si>
  <si>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2.1.7.</t>
  </si>
  <si>
    <t>Промывка урн</t>
  </si>
  <si>
    <t>2.1.8.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</si>
  <si>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</si>
  <si>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</si>
  <si>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</si>
  <si>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</si>
  <si>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</si>
  <si>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</si>
  <si>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</si>
  <si>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</si>
  <si>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</si>
  <si>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</si>
  <si>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</si>
  <si>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</si>
  <si>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</si>
  <si>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</si>
  <si>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 xml:space="preserve"> 1 раз в сутки (50% территорий)</t>
  </si>
  <si>
    <t>б) Тоже, на территориях 2, 3 классов</t>
  </si>
  <si>
    <t>Очистка урн от мусора</t>
  </si>
  <si>
    <t>2 раза в теплый период</t>
  </si>
  <si>
    <t>2.2.8.</t>
  </si>
  <si>
    <t>Обрезка и снос деревьев и кустарников</t>
  </si>
  <si>
    <t>По действующим правилам</t>
  </si>
  <si>
    <t>2.2.9.</t>
  </si>
  <si>
    <t>Поливка тротуаров, внутридомовых проездов</t>
  </si>
  <si>
    <t>По установленному графику</t>
  </si>
  <si>
    <t>2.2.10.</t>
  </si>
  <si>
    <t>Сезонное скашивание травы с территорий без покрытий</t>
  </si>
  <si>
    <t>Не менее 2-х раз за сезон.</t>
  </si>
  <si>
    <t>Проверка и прочистка дымоходов и вентканалов</t>
  </si>
  <si>
    <t>1 раз в год</t>
  </si>
  <si>
    <t>Постоянно</t>
  </si>
  <si>
    <t>12 раз в год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</si>
  <si>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</si>
  <si>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Прочистка лежаков и стояков канализации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</si>
  <si>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</si>
  <si>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</si>
  <si>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</si>
  <si>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</si>
  <si>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</si>
  <si>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</si>
  <si>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</si>
  <si>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</si>
  <si>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</si>
  <si>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</si>
  <si>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</si>
  <si>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</si>
  <si>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</si>
  <si>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</si>
  <si>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</si>
  <si>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</si>
  <si>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2.1.9</t>
  </si>
  <si>
    <t>2.1.10</t>
  </si>
  <si>
    <t>2 раза в сутки (70% территорий)</t>
  </si>
  <si>
    <t>2.2.4.</t>
  </si>
  <si>
    <t>2.2.5.</t>
  </si>
  <si>
    <t>2.2.6.</t>
  </si>
  <si>
    <t>2.2.7.</t>
  </si>
  <si>
    <t>2.2.11.</t>
  </si>
  <si>
    <t>Площадь, кв.м.</t>
  </si>
  <si>
    <t xml:space="preserve">Через 2 часа во время снегопада </t>
  </si>
  <si>
    <t>Через 1 час во время снегопада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</si>
  <si>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</si>
  <si>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</si>
  <si>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</si>
  <si>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</si>
  <si>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</si>
  <si>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</si>
  <si>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</si>
  <si>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</si>
  <si>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</si>
  <si>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</si>
  <si>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</si>
  <si>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</si>
  <si>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</si>
  <si>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</si>
  <si>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</si>
  <si>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</si>
  <si>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</si>
  <si>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</si>
  <si>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</si>
  <si>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</si>
  <si>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</si>
  <si>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</si>
  <si>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</si>
  <si>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</si>
  <si>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</si>
  <si>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</si>
  <si>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</si>
  <si>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</si>
  <si>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</si>
  <si>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</si>
  <si>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</si>
  <si>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</si>
  <si>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</si>
  <si>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</si>
  <si>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</si>
  <si>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</si>
  <si>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</si>
  <si>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</si>
  <si>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</si>
  <si>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</si>
  <si>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</si>
  <si>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</si>
  <si>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</si>
  <si>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</si>
  <si>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</si>
  <si>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</si>
  <si>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</si>
  <si>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</si>
  <si>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</si>
  <si>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</si>
  <si>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</si>
  <si>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</si>
  <si>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</si>
  <si>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</si>
  <si>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</si>
  <si>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</si>
  <si>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</si>
  <si>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</si>
  <si>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</si>
  <si>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</si>
  <si>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</si>
  <si>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</si>
  <si>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</si>
  <si>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</si>
  <si>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</si>
  <si>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</si>
  <si>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</si>
  <si>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</si>
  <si>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</si>
  <si>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</si>
  <si>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</si>
  <si>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</si>
  <si>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</si>
  <si>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</si>
  <si>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</si>
  <si>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</si>
  <si>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</si>
  <si>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</si>
  <si>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</si>
  <si>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</si>
  <si>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</si>
  <si>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</si>
  <si>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</si>
  <si>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</si>
  <si>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</si>
  <si>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</si>
  <si>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</si>
  <si>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</si>
  <si>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</si>
  <si>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</si>
  <si>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</si>
  <si>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</si>
  <si>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</si>
  <si>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</si>
  <si>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</si>
  <si>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4.6.</t>
  </si>
  <si>
    <t xml:space="preserve">площадь жилых помещений </t>
  </si>
  <si>
    <t>площадь нежилых помещений</t>
  </si>
  <si>
    <t>Содержание мусоропровода</t>
  </si>
  <si>
    <t>Электроизмерения</t>
  </si>
  <si>
    <t xml:space="preserve">Непредвиденные работы по текущему ремонту общего имущества жилого дома </t>
  </si>
  <si>
    <t>Костюм х/б</t>
  </si>
  <si>
    <t>руб, с НДС</t>
  </si>
  <si>
    <t>Мыло хозяйственное</t>
  </si>
  <si>
    <t>Эл/лампочки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</si>
  <si>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</si>
  <si>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</si>
  <si>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</si>
  <si>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</si>
  <si>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</si>
  <si>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Осмотр линий электрических сетей, арматуры, электрооборудования  в жилых помещениях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</si>
  <si>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</si>
  <si>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</si>
  <si>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</si>
  <si>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</si>
  <si>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</si>
  <si>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</si>
  <si>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</si>
  <si>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</si>
  <si>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</si>
  <si>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</si>
  <si>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</si>
  <si>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1 шт.* кол-во подъездов</t>
  </si>
  <si>
    <t>1 м2</t>
  </si>
  <si>
    <t xml:space="preserve">Прочистка ливнестоков </t>
  </si>
  <si>
    <t>Дополнительные работы (по необходимости)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</si>
  <si>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</si>
  <si>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</si>
  <si>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</si>
  <si>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</si>
  <si>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</si>
  <si>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</si>
  <si>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</si>
  <si>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</si>
  <si>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</si>
  <si>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</si>
  <si>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</si>
  <si>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</si>
  <si>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</si>
  <si>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</si>
  <si>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</si>
  <si>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</si>
  <si>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</si>
  <si>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</si>
  <si>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Грунт 1 класса</t>
  </si>
  <si>
    <t>Грунт 2 класса</t>
  </si>
  <si>
    <t>Грунт 3 класса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</si>
  <si>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</si>
  <si>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</si>
  <si>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</si>
  <si>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</si>
  <si>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</si>
  <si>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</si>
  <si>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</si>
  <si>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</si>
  <si>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</si>
  <si>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</si>
  <si>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</si>
  <si>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</si>
  <si>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</si>
  <si>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</si>
  <si>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</si>
  <si>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</si>
  <si>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</si>
  <si>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</si>
  <si>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</si>
  <si>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</si>
  <si>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</si>
  <si>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</si>
  <si>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</si>
  <si>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</si>
  <si>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</si>
  <si>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</si>
  <si>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</si>
  <si>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</si>
  <si>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</si>
  <si>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</si>
  <si>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</si>
  <si>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</si>
  <si>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</si>
  <si>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</si>
  <si>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</si>
  <si>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</si>
  <si>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</si>
  <si>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</si>
  <si>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</si>
  <si>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</si>
  <si>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</si>
  <si>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</si>
  <si>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</si>
  <si>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</si>
  <si>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</si>
  <si>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</si>
  <si>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</si>
  <si>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 xml:space="preserve">Аварийное обслуживание - МУП ГАС </t>
  </si>
  <si>
    <t>Техобслуживание вводных и внутренних газопроводов</t>
  </si>
  <si>
    <t>Стоимость затрат на содержание  внутридомового инженерного оборудования и конструктивных элементов</t>
  </si>
  <si>
    <t>Санитарное содержание жилых зданий и придомовой территории</t>
  </si>
  <si>
    <t>таблица № 4</t>
  </si>
  <si>
    <t>Сводная таблица "Содержание жилого дома по  видам работ"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</si>
  <si>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</si>
  <si>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</si>
  <si>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</si>
  <si>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</si>
  <si>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</si>
  <si>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</si>
  <si>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</si>
  <si>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</si>
  <si>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</si>
  <si>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</si>
  <si>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 xml:space="preserve"> руб/ кв.м.в м-ц</t>
  </si>
  <si>
    <t>5.2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</si>
  <si>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</si>
  <si>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</si>
  <si>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</si>
  <si>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</si>
  <si>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</si>
  <si>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</si>
  <si>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Применительно  Пр. 139 п. 2.2.1.3.  (т 3 п. 6)</t>
  </si>
  <si>
    <t>2.2.1.</t>
  </si>
  <si>
    <t>2.4.</t>
  </si>
  <si>
    <t>3.7.</t>
  </si>
  <si>
    <t>4.4.</t>
  </si>
  <si>
    <t xml:space="preserve">2 м3/1000  м2 территории для посыпки </t>
  </si>
  <si>
    <t>Электроэнергия на эл/двигатель лифта по мощности  (3,6 квт х кол-во  х 6 час. х 365 дн = квт)</t>
  </si>
  <si>
    <t>Тротуарная плитка</t>
  </si>
  <si>
    <t>5.1</t>
  </si>
  <si>
    <t>5.3</t>
  </si>
  <si>
    <t>5.4</t>
  </si>
  <si>
    <t>Утверждаю</t>
  </si>
  <si>
    <t>Директор ООО УК "Сириус"</t>
  </si>
  <si>
    <t>____________</t>
  </si>
  <si>
    <t>Орлов Г.А.</t>
  </si>
  <si>
    <t>итого</t>
  </si>
  <si>
    <t>надбавка</t>
  </si>
  <si>
    <t>Мытье пола кабины лифта</t>
  </si>
  <si>
    <t>Ежедневно</t>
  </si>
  <si>
    <t xml:space="preserve">Влажная протирка стен, дверей, плафонов и потолков кабины лифта. </t>
  </si>
  <si>
    <t>Работы по уборке лестничных клеток и лифтовых кабин</t>
  </si>
  <si>
    <t>Влажное подметание лестничных площадок и маршей  до 2 этажа</t>
  </si>
  <si>
    <t>Влажное подметание лестничных площадок и маршей  выше 2 этажа</t>
  </si>
  <si>
    <t>1.7.</t>
  </si>
  <si>
    <t>1.8.</t>
  </si>
  <si>
    <t>1.9.</t>
  </si>
  <si>
    <t>1.10.</t>
  </si>
  <si>
    <t>5.5</t>
  </si>
  <si>
    <t>Исходные данные  дома по  ул. Апанасенко 56 А</t>
  </si>
  <si>
    <t>сантехник</t>
  </si>
  <si>
    <t>100  квартир</t>
  </si>
  <si>
    <t>1шт (200 г) на 1 раб</t>
  </si>
  <si>
    <t>1  раз в год</t>
  </si>
  <si>
    <t>4.6.7</t>
  </si>
  <si>
    <t>3шт*кол-во этажей*кол-во подъездов</t>
  </si>
  <si>
    <t>Комиссия банка</t>
  </si>
  <si>
    <t>Примечание: Гр.8 рассчитывается: з/п рабочего со всеми надбавками / кол-во часов (164,25) * норму времени (челчас) по приказу  139 * % страховых взносов</t>
  </si>
  <si>
    <t>Общие и частичные осмотры системы цетрального отопления в технических помещениях в неотопительный период</t>
  </si>
  <si>
    <t>4.6.1</t>
  </si>
  <si>
    <t>4.6.2</t>
  </si>
  <si>
    <t>4.6.3</t>
  </si>
  <si>
    <t>4.6.4</t>
  </si>
  <si>
    <t>4.6.5</t>
  </si>
  <si>
    <t>4.6.6</t>
  </si>
  <si>
    <t>4.5.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</si>
  <si>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</si>
  <si>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</si>
  <si>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</si>
  <si>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</si>
  <si>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</si>
  <si>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</si>
  <si>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</si>
  <si>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</si>
  <si>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</si>
  <si>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Экономическое обоснование ООО УК "Сириус"платы на содержание жилья
 и прилегающей территории на  2015 г.</t>
  </si>
  <si>
    <t>Перечень работ и услуг по содержанию и текущему ремонту общего имущества многоквартирного дома по адресу:                   ул. Апанасенко, 56А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</si>
</sst>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5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19" fillId="32" borderId="37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32" borderId="37" xfId="0" applyFont="1" applyFill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19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14" fontId="7" fillId="0" borderId="34" xfId="0" applyNumberFormat="1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3" fontId="0" fillId="33" borderId="16" xfId="0" applyNumberFormat="1" applyFill="1" applyBorder="1" applyAlignment="1">
      <alignment horizont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39" xfId="0" applyNumberFormat="1" applyFont="1" applyFill="1" applyBorder="1" applyAlignment="1">
      <alignment horizontal="center" wrapText="1"/>
    </xf>
    <xf numFmtId="3" fontId="0" fillId="0" borderId="40" xfId="0" applyNumberForma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3" fontId="2" fillId="33" borderId="39" xfId="0" applyNumberFormat="1" applyFont="1" applyFill="1" applyBorder="1" applyAlignment="1">
      <alignment horizontal="center" wrapText="1"/>
    </xf>
    <xf numFmtId="3" fontId="0" fillId="33" borderId="42" xfId="0" applyNumberForma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3" fontId="0" fillId="0" borderId="29" xfId="0" applyNumberForma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12" fillId="32" borderId="42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1" fillId="32" borderId="3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2" borderId="39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2" borderId="42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172" fontId="0" fillId="0" borderId="29" xfId="0" applyNumberFormat="1" applyFont="1" applyBorder="1" applyAlignment="1">
      <alignment horizontal="center"/>
    </xf>
    <xf numFmtId="172" fontId="2" fillId="32" borderId="42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172" fontId="11" fillId="0" borderId="42" xfId="0" applyNumberFormat="1" applyFont="1" applyFill="1" applyBorder="1" applyAlignment="1">
      <alignment horizontal="center"/>
    </xf>
    <xf numFmtId="172" fontId="11" fillId="0" borderId="42" xfId="0" applyNumberFormat="1" applyFont="1" applyFill="1" applyBorder="1" applyAlignment="1">
      <alignment horizontal="center" wrapText="1"/>
    </xf>
    <xf numFmtId="172" fontId="11" fillId="0" borderId="46" xfId="0" applyNumberFormat="1" applyFont="1" applyFill="1" applyBorder="1" applyAlignment="1">
      <alignment horizontal="center" wrapText="1"/>
    </xf>
    <xf numFmtId="172" fontId="2" fillId="33" borderId="40" xfId="0" applyNumberFormat="1" applyFont="1" applyFill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7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0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2" fontId="0" fillId="4" borderId="10" xfId="0" applyNumberForma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7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2" fontId="2" fillId="33" borderId="17" xfId="0" applyNumberFormat="1" applyFont="1" applyFill="1" applyBorder="1" applyAlignment="1">
      <alignment horizontal="center"/>
    </xf>
    <xf numFmtId="4" fontId="2" fillId="33" borderId="3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/>
    </xf>
    <xf numFmtId="0" fontId="0" fillId="0" borderId="34" xfId="0" applyBorder="1" applyAlignment="1">
      <alignment horizontal="center" wrapText="1"/>
    </xf>
    <xf numFmtId="9" fontId="0" fillId="0" borderId="34" xfId="0" applyNumberFormat="1" applyBorder="1" applyAlignment="1">
      <alignment horizontal="center" wrapText="1"/>
    </xf>
    <xf numFmtId="169" fontId="0" fillId="0" borderId="34" xfId="0" applyNumberFormat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0" fillId="4" borderId="34" xfId="0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0" fontId="2" fillId="34" borderId="34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/>
    </xf>
    <xf numFmtId="9" fontId="0" fillId="0" borderId="35" xfId="0" applyNumberFormat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11" fillId="32" borderId="37" xfId="0" applyFont="1" applyFill="1" applyBorder="1" applyAlignment="1">
      <alignment horizontal="center"/>
    </xf>
    <xf numFmtId="170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168" fontId="2" fillId="0" borderId="34" xfId="0" applyNumberFormat="1" applyFont="1" applyBorder="1" applyAlignment="1">
      <alignment horizontal="center"/>
    </xf>
    <xf numFmtId="168" fontId="0" fillId="0" borderId="34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1" fontId="0" fillId="0" borderId="34" xfId="0" applyNumberFormat="1" applyFont="1" applyBorder="1" applyAlignment="1">
      <alignment horizontal="center"/>
    </xf>
    <xf numFmtId="2" fontId="2" fillId="33" borderId="35" xfId="0" applyNumberFormat="1" applyFont="1" applyFill="1" applyBorder="1" applyAlignment="1">
      <alignment horizontal="center"/>
    </xf>
    <xf numFmtId="0" fontId="13" fillId="0" borderId="38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2" fillId="35" borderId="50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wrapText="1"/>
    </xf>
    <xf numFmtId="0" fontId="0" fillId="35" borderId="17" xfId="0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2" fillId="35" borderId="51" xfId="0" applyFont="1" applyFill="1" applyBorder="1" applyAlignment="1">
      <alignment wrapText="1"/>
    </xf>
    <xf numFmtId="0" fontId="2" fillId="35" borderId="39" xfId="0" applyFont="1" applyFill="1" applyBorder="1" applyAlignment="1">
      <alignment horizontal="center" wrapText="1"/>
    </xf>
    <xf numFmtId="168" fontId="2" fillId="0" borderId="36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4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39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7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/>
    </xf>
    <xf numFmtId="170" fontId="0" fillId="0" borderId="37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 wrapText="1"/>
    </xf>
    <xf numFmtId="169" fontId="0" fillId="0" borderId="48" xfId="0" applyNumberFormat="1" applyFont="1" applyFill="1" applyBorder="1" applyAlignment="1">
      <alignment horizontal="center" wrapText="1"/>
    </xf>
    <xf numFmtId="3" fontId="0" fillId="0" borderId="31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2" fontId="2" fillId="0" borderId="54" xfId="0" applyNumberFormat="1" applyFont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170" fontId="0" fillId="0" borderId="55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3" fontId="0" fillId="0" borderId="46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18" borderId="17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36" borderId="51" xfId="0" applyFont="1" applyFill="1" applyBorder="1" applyAlignment="1">
      <alignment wrapText="1"/>
    </xf>
    <xf numFmtId="168" fontId="2" fillId="36" borderId="53" xfId="0" applyNumberFormat="1" applyFont="1" applyFill="1" applyBorder="1" applyAlignment="1">
      <alignment horizontal="center" wrapText="1"/>
    </xf>
    <xf numFmtId="0" fontId="2" fillId="0" borderId="51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2" fillId="36" borderId="5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1" fontId="2" fillId="32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4" xfId="0" applyNumberFormat="1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9" fillId="37" borderId="37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39" xfId="0" applyFont="1" applyFill="1" applyBorder="1" applyAlignment="1">
      <alignment horizontal="center"/>
    </xf>
    <xf numFmtId="172" fontId="11" fillId="37" borderId="42" xfId="0" applyNumberFormat="1" applyFont="1" applyFill="1" applyBorder="1" applyAlignment="1">
      <alignment horizontal="center"/>
    </xf>
    <xf numFmtId="0" fontId="11" fillId="37" borderId="37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center"/>
    </xf>
    <xf numFmtId="172" fontId="2" fillId="18" borderId="42" xfId="0" applyNumberFormat="1" applyFont="1" applyFill="1" applyBorder="1" applyAlignment="1">
      <alignment horizontal="center"/>
    </xf>
    <xf numFmtId="2" fontId="2" fillId="18" borderId="37" xfId="0" applyNumberFormat="1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11" fillId="36" borderId="56" xfId="0" applyNumberFormat="1" applyFont="1" applyFill="1" applyBorder="1" applyAlignment="1">
      <alignment horizontal="center"/>
    </xf>
    <xf numFmtId="0" fontId="11" fillId="36" borderId="57" xfId="0" applyFont="1" applyFill="1" applyBorder="1" applyAlignment="1">
      <alignment horizontal="center"/>
    </xf>
    <xf numFmtId="172" fontId="11" fillId="36" borderId="32" xfId="0" applyNumberFormat="1" applyFont="1" applyFill="1" applyBorder="1" applyAlignment="1">
      <alignment horizontal="center"/>
    </xf>
    <xf numFmtId="2" fontId="11" fillId="36" borderId="5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2" fontId="11" fillId="36" borderId="57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4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0" fillId="0" borderId="62" xfId="0" applyNumberFormat="1" applyFont="1" applyBorder="1" applyAlignment="1">
      <alignment horizontal="center" wrapText="1"/>
    </xf>
    <xf numFmtId="0" fontId="0" fillId="0" borderId="63" xfId="0" applyBorder="1" applyAlignment="1">
      <alignment wrapText="1"/>
    </xf>
    <xf numFmtId="0" fontId="0" fillId="0" borderId="63" xfId="0" applyBorder="1" applyAlignment="1">
      <alignment horizontal="center" wrapText="1"/>
    </xf>
    <xf numFmtId="0" fontId="2" fillId="35" borderId="64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2" fillId="36" borderId="42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4" fillId="35" borderId="49" xfId="0" applyFont="1" applyFill="1" applyBorder="1" applyAlignment="1">
      <alignment horizontal="center" wrapText="1"/>
    </xf>
    <xf numFmtId="0" fontId="14" fillId="35" borderId="44" xfId="0" applyFont="1" applyFill="1" applyBorder="1" applyAlignment="1">
      <alignment horizontal="center" wrapText="1"/>
    </xf>
    <xf numFmtId="0" fontId="14" fillId="36" borderId="44" xfId="0" applyFont="1" applyFill="1" applyBorder="1" applyAlignment="1">
      <alignment horizontal="center"/>
    </xf>
    <xf numFmtId="0" fontId="13" fillId="0" borderId="65" xfId="0" applyFont="1" applyBorder="1" applyAlignment="1">
      <alignment horizontal="center" wrapText="1"/>
    </xf>
    <xf numFmtId="169" fontId="13" fillId="0" borderId="49" xfId="0" applyNumberFormat="1" applyFont="1" applyFill="1" applyBorder="1" applyAlignment="1">
      <alignment horizontal="center" wrapText="1"/>
    </xf>
    <xf numFmtId="2" fontId="13" fillId="0" borderId="49" xfId="0" applyNumberFormat="1" applyFont="1" applyFill="1" applyBorder="1" applyAlignment="1">
      <alignment horizontal="center" wrapText="1"/>
    </xf>
    <xf numFmtId="0" fontId="14" fillId="35" borderId="66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54" xfId="0" applyFont="1" applyFill="1" applyBorder="1" applyAlignment="1">
      <alignment horizontal="center"/>
    </xf>
    <xf numFmtId="4" fontId="2" fillId="35" borderId="54" xfId="0" applyNumberFormat="1" applyFont="1" applyFill="1" applyBorder="1" applyAlignment="1">
      <alignment horizontal="center" wrapText="1"/>
    </xf>
    <xf numFmtId="2" fontId="0" fillId="0" borderId="54" xfId="0" applyNumberFormat="1" applyFont="1" applyBorder="1" applyAlignment="1">
      <alignment horizontal="center"/>
    </xf>
    <xf numFmtId="0" fontId="13" fillId="0" borderId="68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4" xfId="0" applyFont="1" applyBorder="1" applyAlignment="1">
      <alignment wrapText="1"/>
    </xf>
    <xf numFmtId="0" fontId="4" fillId="0" borderId="33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1" fillId="32" borderId="69" xfId="0" applyFont="1" applyFill="1" applyBorder="1" applyAlignment="1">
      <alignment horizontal="center" wrapText="1"/>
    </xf>
    <xf numFmtId="0" fontId="19" fillId="32" borderId="48" xfId="0" applyFont="1" applyFill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1" fillId="32" borderId="31" xfId="0" applyFont="1" applyFill="1" applyBorder="1" applyAlignment="1">
      <alignment horizontal="center" wrapText="1"/>
    </xf>
    <xf numFmtId="172" fontId="11" fillId="32" borderId="33" xfId="0" applyNumberFormat="1" applyFont="1" applyFill="1" applyBorder="1" applyAlignment="1">
      <alignment horizontal="center" wrapText="1"/>
    </xf>
    <xf numFmtId="0" fontId="11" fillId="32" borderId="48" xfId="0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1" fillId="0" borderId="71" xfId="0" applyFont="1" applyFill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6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29" xfId="0" applyNumberFormat="1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4" fontId="0" fillId="0" borderId="33" xfId="0" applyNumberFormat="1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15" fillId="0" borderId="56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6" xfId="0" applyFont="1" applyBorder="1" applyAlignment="1">
      <alignment horizontal="center" wrapText="1"/>
    </xf>
    <xf numFmtId="49" fontId="2" fillId="0" borderId="50" xfId="0" applyNumberFormat="1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/>
    </xf>
    <xf numFmtId="172" fontId="11" fillId="0" borderId="28" xfId="0" applyNumberFormat="1" applyFont="1" applyFill="1" applyBorder="1" applyAlignment="1">
      <alignment horizontal="center" wrapText="1"/>
    </xf>
    <xf numFmtId="172" fontId="2" fillId="33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7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6" xfId="0" applyNumberFormat="1" applyFont="1" applyFill="1" applyBorder="1" applyAlignment="1">
      <alignment horizontal="center" wrapText="1"/>
    </xf>
    <xf numFmtId="4" fontId="22" fillId="0" borderId="29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4" fontId="21" fillId="0" borderId="41" xfId="0" applyNumberFormat="1" applyFont="1" applyBorder="1" applyAlignment="1">
      <alignment horizontal="center" wrapText="1"/>
    </xf>
    <xf numFmtId="0" fontId="30" fillId="0" borderId="29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5" borderId="17" xfId="0" applyFont="1" applyFill="1" applyBorder="1" applyAlignment="1">
      <alignment wrapText="1"/>
    </xf>
    <xf numFmtId="0" fontId="22" fillId="35" borderId="17" xfId="0" applyFont="1" applyFill="1" applyBorder="1" applyAlignment="1">
      <alignment horizontal="center" wrapText="1"/>
    </xf>
    <xf numFmtId="0" fontId="22" fillId="35" borderId="39" xfId="0" applyFont="1" applyFill="1" applyBorder="1" applyAlignment="1">
      <alignment horizontal="center" wrapText="1"/>
    </xf>
    <xf numFmtId="4" fontId="22" fillId="35" borderId="37" xfId="0" applyNumberFormat="1" applyFont="1" applyFill="1" applyBorder="1" applyAlignment="1">
      <alignment horizontal="center" wrapText="1"/>
    </xf>
    <xf numFmtId="4" fontId="22" fillId="35" borderId="17" xfId="0" applyNumberFormat="1" applyFont="1" applyFill="1" applyBorder="1" applyAlignment="1">
      <alignment horizontal="center" wrapText="1"/>
    </xf>
    <xf numFmtId="4" fontId="22" fillId="35" borderId="39" xfId="0" applyNumberFormat="1" applyFont="1" applyFill="1" applyBorder="1" applyAlignment="1">
      <alignment horizontal="center" wrapText="1"/>
    </xf>
    <xf numFmtId="0" fontId="21" fillId="35" borderId="42" xfId="0" applyFont="1" applyFill="1" applyBorder="1" applyAlignment="1">
      <alignment horizontal="center" wrapText="1"/>
    </xf>
    <xf numFmtId="4" fontId="24" fillId="35" borderId="42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29" xfId="0" applyNumberFormat="1" applyFont="1" applyBorder="1" applyAlignment="1">
      <alignment horizontal="center" wrapText="1"/>
    </xf>
    <xf numFmtId="4" fontId="29" fillId="0" borderId="36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2" fillId="0" borderId="26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32" fillId="0" borderId="34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5" borderId="17" xfId="0" applyNumberFormat="1" applyFont="1" applyFill="1" applyBorder="1" applyAlignment="1">
      <alignment horizontal="center" wrapText="1"/>
    </xf>
    <xf numFmtId="4" fontId="24" fillId="35" borderId="37" xfId="0" applyNumberFormat="1" applyFont="1" applyFill="1" applyBorder="1" applyAlignment="1">
      <alignment horizontal="center" wrapText="1"/>
    </xf>
    <xf numFmtId="4" fontId="24" fillId="35" borderId="17" xfId="0" applyNumberFormat="1" applyFont="1" applyFill="1" applyBorder="1" applyAlignment="1">
      <alignment horizontal="center" wrapText="1"/>
    </xf>
    <xf numFmtId="4" fontId="24" fillId="35" borderId="39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6" xfId="0" applyNumberFormat="1" applyFont="1" applyBorder="1" applyAlignment="1">
      <alignment horizontal="center" wrapText="1"/>
    </xf>
    <xf numFmtId="4" fontId="32" fillId="0" borderId="36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1" fillId="0" borderId="26" xfId="0" applyFont="1" applyBorder="1" applyAlignment="1">
      <alignment/>
    </xf>
    <xf numFmtId="2" fontId="21" fillId="0" borderId="29" xfId="0" applyNumberFormat="1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32" fillId="0" borderId="34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4" fontId="32" fillId="0" borderId="38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21" fillId="0" borderId="45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4" fillId="0" borderId="11" xfId="0" applyFont="1" applyFill="1" applyBorder="1" applyAlignment="1">
      <alignment horizontal="center" wrapText="1"/>
    </xf>
    <xf numFmtId="4" fontId="21" fillId="0" borderId="61" xfId="0" applyNumberFormat="1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32" borderId="42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9" fillId="0" borderId="77" xfId="0" applyNumberFormat="1" applyFont="1" applyFill="1" applyBorder="1" applyAlignment="1">
      <alignment horizontal="center" wrapText="1"/>
    </xf>
    <xf numFmtId="4" fontId="31" fillId="0" borderId="14" xfId="0" applyNumberFormat="1" applyFont="1" applyFill="1" applyBorder="1" applyAlignment="1">
      <alignment horizontal="center" wrapText="1"/>
    </xf>
    <xf numFmtId="4" fontId="29" fillId="0" borderId="14" xfId="0" applyNumberFormat="1" applyFont="1" applyFill="1" applyBorder="1" applyAlignment="1">
      <alignment horizontal="center" wrapText="1"/>
    </xf>
    <xf numFmtId="0" fontId="22" fillId="0" borderId="30" xfId="0" applyFont="1" applyFill="1" applyBorder="1" applyAlignment="1">
      <alignment wrapText="1"/>
    </xf>
    <xf numFmtId="4" fontId="29" fillId="0" borderId="36" xfId="0" applyNumberFormat="1" applyFont="1" applyFill="1" applyBorder="1" applyAlignment="1">
      <alignment horizontal="center" wrapText="1"/>
    </xf>
    <xf numFmtId="4" fontId="31" fillId="0" borderId="13" xfId="0" applyNumberFormat="1" applyFont="1" applyFill="1" applyBorder="1" applyAlignment="1">
      <alignment horizontal="center" wrapText="1"/>
    </xf>
    <xf numFmtId="4" fontId="29" fillId="0" borderId="13" xfId="0" applyNumberFormat="1" applyFont="1" applyFill="1" applyBorder="1" applyAlignment="1">
      <alignment horizontal="center" wrapText="1"/>
    </xf>
    <xf numFmtId="4" fontId="29" fillId="0" borderId="34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32" fillId="0" borderId="22" xfId="0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5" fillId="32" borderId="37" xfId="0" applyFont="1" applyFill="1" applyBorder="1" applyAlignment="1">
      <alignment wrapText="1"/>
    </xf>
    <xf numFmtId="0" fontId="22" fillId="32" borderId="17" xfId="0" applyFont="1" applyFill="1" applyBorder="1" applyAlignment="1">
      <alignment horizontal="center"/>
    </xf>
    <xf numFmtId="0" fontId="22" fillId="32" borderId="39" xfId="0" applyFont="1" applyFill="1" applyBorder="1" applyAlignment="1">
      <alignment horizontal="center"/>
    </xf>
    <xf numFmtId="4" fontId="22" fillId="32" borderId="37" xfId="0" applyNumberFormat="1" applyFont="1" applyFill="1" applyBorder="1" applyAlignment="1">
      <alignment horizontal="center"/>
    </xf>
    <xf numFmtId="4" fontId="22" fillId="32" borderId="17" xfId="0" applyNumberFormat="1" applyFont="1" applyFill="1" applyBorder="1" applyAlignment="1">
      <alignment horizontal="center"/>
    </xf>
    <xf numFmtId="4" fontId="22" fillId="32" borderId="39" xfId="0" applyNumberFormat="1" applyFont="1" applyFill="1" applyBorder="1" applyAlignment="1">
      <alignment horizontal="center"/>
    </xf>
    <xf numFmtId="4" fontId="24" fillId="32" borderId="42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0" borderId="36" xfId="0" applyFont="1" applyBorder="1" applyAlignment="1">
      <alignment horizontal="center" wrapText="1"/>
    </xf>
    <xf numFmtId="4" fontId="33" fillId="0" borderId="13" xfId="0" applyNumberFormat="1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21" fillId="0" borderId="26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78" xfId="0" applyFont="1" applyBorder="1" applyAlignment="1">
      <alignment horizontal="center" wrapText="1"/>
    </xf>
    <xf numFmtId="0" fontId="29" fillId="0" borderId="63" xfId="0" applyFont="1" applyBorder="1" applyAlignment="1">
      <alignment wrapText="1"/>
    </xf>
    <xf numFmtId="0" fontId="22" fillId="0" borderId="63" xfId="0" applyFont="1" applyBorder="1" applyAlignment="1">
      <alignment horizontal="center" wrapText="1"/>
    </xf>
    <xf numFmtId="0" fontId="22" fillId="0" borderId="63" xfId="0" applyFont="1" applyBorder="1" applyAlignment="1">
      <alignment/>
    </xf>
    <xf numFmtId="169" fontId="22" fillId="0" borderId="63" xfId="0" applyNumberFormat="1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2" fontId="22" fillId="0" borderId="61" xfId="0" applyNumberFormat="1" applyFont="1" applyBorder="1" applyAlignment="1">
      <alignment horizontal="center"/>
    </xf>
    <xf numFmtId="2" fontId="29" fillId="0" borderId="74" xfId="0" applyNumberFormat="1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2" fillId="0" borderId="73" xfId="0" applyFont="1" applyBorder="1" applyAlignment="1">
      <alignment/>
    </xf>
    <xf numFmtId="0" fontId="22" fillId="0" borderId="62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35" borderId="37" xfId="0" applyFont="1" applyFill="1" applyBorder="1" applyAlignment="1">
      <alignment wrapText="1"/>
    </xf>
    <xf numFmtId="0" fontId="22" fillId="35" borderId="39" xfId="0" applyFont="1" applyFill="1" applyBorder="1" applyAlignment="1">
      <alignment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1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67" xfId="0" applyNumberFormat="1" applyFont="1" applyBorder="1" applyAlignment="1">
      <alignment horizontal="center" wrapText="1"/>
    </xf>
    <xf numFmtId="4" fontId="21" fillId="0" borderId="28" xfId="0" applyNumberFormat="1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4" fontId="21" fillId="0" borderId="34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5" fillId="35" borderId="17" xfId="0" applyNumberFormat="1" applyFont="1" applyFill="1" applyBorder="1" applyAlignment="1">
      <alignment horizontal="center" wrapText="1"/>
    </xf>
    <xf numFmtId="0" fontId="21" fillId="0" borderId="40" xfId="0" applyFont="1" applyFill="1" applyBorder="1" applyAlignment="1">
      <alignment horizontal="center" wrapText="1"/>
    </xf>
    <xf numFmtId="0" fontId="21" fillId="0" borderId="29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168" fontId="0" fillId="0" borderId="52" xfId="0" applyNumberFormat="1" applyFont="1" applyBorder="1" applyAlignment="1">
      <alignment horizontal="center" wrapText="1"/>
    </xf>
    <xf numFmtId="4" fontId="0" fillId="0" borderId="67" xfId="0" applyNumberFormat="1" applyFont="1" applyBorder="1" applyAlignment="1">
      <alignment horizontal="center" wrapText="1"/>
    </xf>
    <xf numFmtId="4" fontId="0" fillId="0" borderId="54" xfId="0" applyNumberFormat="1" applyFont="1" applyBorder="1" applyAlignment="1">
      <alignment horizontal="center" wrapText="1"/>
    </xf>
    <xf numFmtId="2" fontId="0" fillId="0" borderId="52" xfId="0" applyNumberFormat="1" applyFont="1" applyBorder="1" applyAlignment="1">
      <alignment horizontal="center" wrapText="1"/>
    </xf>
    <xf numFmtId="2" fontId="2" fillId="35" borderId="53" xfId="0" applyNumberFormat="1" applyFont="1" applyFill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0" fillId="0" borderId="54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" fontId="2" fillId="35" borderId="53" xfId="0" applyNumberFormat="1" applyFont="1" applyFill="1" applyBorder="1" applyAlignment="1">
      <alignment horizontal="center" wrapText="1"/>
    </xf>
    <xf numFmtId="0" fontId="2" fillId="36" borderId="54" xfId="0" applyFont="1" applyFill="1" applyBorder="1" applyAlignment="1">
      <alignment horizontal="center" wrapText="1"/>
    </xf>
    <xf numFmtId="4" fontId="2" fillId="35" borderId="53" xfId="0" applyNumberFormat="1" applyFont="1" applyFill="1" applyBorder="1" applyAlignment="1">
      <alignment horizontal="center"/>
    </xf>
    <xf numFmtId="2" fontId="0" fillId="0" borderId="67" xfId="0" applyNumberFormat="1" applyFont="1" applyBorder="1" applyAlignment="1">
      <alignment horizontal="center" wrapText="1"/>
    </xf>
    <xf numFmtId="4" fontId="2" fillId="35" borderId="71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0" fontId="14" fillId="0" borderId="65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6" borderId="44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 wrapText="1"/>
    </xf>
    <xf numFmtId="9" fontId="13" fillId="0" borderId="49" xfId="0" applyNumberFormat="1" applyFont="1" applyBorder="1" applyAlignment="1">
      <alignment horizontal="center" wrapText="1"/>
    </xf>
    <xf numFmtId="169" fontId="13" fillId="0" borderId="49" xfId="0" applyNumberFormat="1" applyFont="1" applyBorder="1" applyAlignment="1">
      <alignment horizontal="center" wrapText="1"/>
    </xf>
    <xf numFmtId="2" fontId="13" fillId="0" borderId="49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6" borderId="49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168" fontId="14" fillId="36" borderId="10" xfId="0" applyNumberFormat="1" applyFont="1" applyFill="1" applyBorder="1" applyAlignment="1">
      <alignment horizontal="center" wrapText="1"/>
    </xf>
    <xf numFmtId="2" fontId="13" fillId="0" borderId="68" xfId="0" applyNumberFormat="1" applyFont="1" applyBorder="1" applyAlignment="1">
      <alignment horizontal="center" wrapText="1"/>
    </xf>
    <xf numFmtId="0" fontId="13" fillId="0" borderId="6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6" xfId="0" applyNumberFormat="1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 wrapText="1"/>
    </xf>
    <xf numFmtId="2" fontId="2" fillId="35" borderId="54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4" fillId="0" borderId="49" xfId="0" applyFont="1" applyFill="1" applyBorder="1" applyAlignment="1">
      <alignment horizontal="center" wrapText="1"/>
    </xf>
    <xf numFmtId="168" fontId="34" fillId="0" borderId="10" xfId="0" applyNumberFormat="1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4" fillId="0" borderId="45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4" fillId="0" borderId="27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30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4" fillId="35" borderId="42" xfId="0" applyNumberFormat="1" applyFont="1" applyFill="1" applyBorder="1" applyAlignment="1">
      <alignment horizontal="center" wrapText="1"/>
    </xf>
    <xf numFmtId="0" fontId="24" fillId="35" borderId="42" xfId="0" applyFont="1" applyFill="1" applyBorder="1" applyAlignment="1">
      <alignment horizontal="center" wrapText="1"/>
    </xf>
    <xf numFmtId="0" fontId="12" fillId="35" borderId="4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1" fontId="0" fillId="0" borderId="3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10" fontId="0" fillId="0" borderId="40" xfId="0" applyNumberFormat="1" applyBorder="1" applyAlignment="1">
      <alignment horizontal="center" wrapText="1"/>
    </xf>
    <xf numFmtId="0" fontId="13" fillId="0" borderId="49" xfId="0" applyNumberFormat="1" applyFont="1" applyBorder="1" applyAlignment="1">
      <alignment horizontal="center" wrapText="1"/>
    </xf>
    <xf numFmtId="1" fontId="13" fillId="0" borderId="68" xfId="0" applyNumberFormat="1" applyFont="1" applyBorder="1" applyAlignment="1">
      <alignment horizontal="center" wrapText="1"/>
    </xf>
    <xf numFmtId="1" fontId="0" fillId="0" borderId="55" xfId="0" applyNumberFormat="1" applyFont="1" applyFill="1" applyBorder="1" applyAlignment="1">
      <alignment horizontal="center" wrapText="1"/>
    </xf>
    <xf numFmtId="0" fontId="0" fillId="38" borderId="55" xfId="0" applyFont="1" applyFill="1" applyBorder="1" applyAlignment="1">
      <alignment horizontal="center" wrapText="1"/>
    </xf>
    <xf numFmtId="4" fontId="0" fillId="38" borderId="16" xfId="0" applyNumberFormat="1" applyFont="1" applyFill="1" applyBorder="1" applyAlignment="1">
      <alignment horizontal="center" wrapText="1"/>
    </xf>
    <xf numFmtId="168" fontId="0" fillId="38" borderId="67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  <xf numFmtId="168" fontId="0" fillId="38" borderId="67" xfId="0" applyNumberFormat="1" applyFont="1" applyFill="1" applyBorder="1" applyAlignment="1">
      <alignment horizontal="center" wrapText="1"/>
    </xf>
    <xf numFmtId="0" fontId="22" fillId="35" borderId="24" xfId="0" applyFont="1" applyFill="1" applyBorder="1" applyAlignment="1">
      <alignment wrapText="1"/>
    </xf>
    <xf numFmtId="0" fontId="22" fillId="35" borderId="24" xfId="0" applyFont="1" applyFill="1" applyBorder="1" applyAlignment="1">
      <alignment horizontal="center" wrapText="1"/>
    </xf>
    <xf numFmtId="0" fontId="22" fillId="35" borderId="31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34" fillId="0" borderId="10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3" fontId="21" fillId="38" borderId="28" xfId="0" applyNumberFormat="1" applyFont="1" applyFill="1" applyBorder="1" applyAlignment="1">
      <alignment horizontal="center" wrapText="1"/>
    </xf>
    <xf numFmtId="3" fontId="21" fillId="38" borderId="16" xfId="0" applyNumberFormat="1" applyFont="1" applyFill="1" applyBorder="1" applyAlignment="1">
      <alignment horizontal="center" wrapText="1"/>
    </xf>
    <xf numFmtId="4" fontId="21" fillId="38" borderId="29" xfId="0" applyNumberFormat="1" applyFont="1" applyFill="1" applyBorder="1" applyAlignment="1">
      <alignment horizontal="center" wrapText="1"/>
    </xf>
    <xf numFmtId="4" fontId="21" fillId="38" borderId="16" xfId="0" applyNumberFormat="1" applyFont="1" applyFill="1" applyBorder="1" applyAlignment="1">
      <alignment horizontal="center" wrapText="1"/>
    </xf>
    <xf numFmtId="4" fontId="21" fillId="38" borderId="54" xfId="0" applyNumberFormat="1" applyFont="1" applyFill="1" applyBorder="1" applyAlignment="1">
      <alignment horizontal="center" wrapText="1"/>
    </xf>
    <xf numFmtId="0" fontId="13" fillId="38" borderId="10" xfId="0" applyFont="1" applyFill="1" applyBorder="1" applyAlignment="1">
      <alignment horizontal="center" wrapText="1"/>
    </xf>
    <xf numFmtId="0" fontId="10" fillId="38" borderId="15" xfId="0" applyFont="1" applyFill="1" applyBorder="1" applyAlignment="1">
      <alignment horizontal="left"/>
    </xf>
    <xf numFmtId="0" fontId="7" fillId="38" borderId="3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 wrapText="1"/>
    </xf>
    <xf numFmtId="0" fontId="8" fillId="38" borderId="68" xfId="0" applyFont="1" applyFill="1" applyBorder="1" applyAlignment="1">
      <alignment horizontal="center" wrapText="1"/>
    </xf>
    <xf numFmtId="0" fontId="0" fillId="38" borderId="11" xfId="0" applyFont="1" applyFill="1" applyBorder="1" applyAlignment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7" fillId="38" borderId="13" xfId="0" applyFont="1" applyFill="1" applyBorder="1" applyAlignment="1">
      <alignment horizontal="center" wrapText="1"/>
    </xf>
    <xf numFmtId="0" fontId="0" fillId="38" borderId="13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14" fontId="7" fillId="38" borderId="36" xfId="0" applyNumberFormat="1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7" fillId="38" borderId="35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11" fillId="38" borderId="60" xfId="0" applyFont="1" applyFill="1" applyBorder="1" applyAlignment="1">
      <alignment horizontal="center"/>
    </xf>
    <xf numFmtId="0" fontId="19" fillId="38" borderId="58" xfId="0" applyFont="1" applyFill="1" applyBorder="1" applyAlignment="1">
      <alignment horizontal="center"/>
    </xf>
    <xf numFmtId="0" fontId="11" fillId="38" borderId="56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8" fillId="38" borderId="49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38" borderId="69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2" fontId="24" fillId="32" borderId="42" xfId="0" applyNumberFormat="1" applyFont="1" applyFill="1" applyBorder="1" applyAlignment="1">
      <alignment horizontal="center" wrapText="1"/>
    </xf>
    <xf numFmtId="49" fontId="22" fillId="0" borderId="47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79" xfId="0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55" xfId="0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0" fontId="25" fillId="0" borderId="55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49" fontId="21" fillId="0" borderId="15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9" fontId="2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25" fillId="0" borderId="55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Alignment="1">
      <alignment/>
    </xf>
    <xf numFmtId="49" fontId="23" fillId="0" borderId="62" xfId="0" applyNumberFormat="1" applyFont="1" applyFill="1" applyBorder="1" applyAlignment="1">
      <alignment horizontal="center" vertical="top" wrapText="1"/>
    </xf>
    <xf numFmtId="0" fontId="23" fillId="0" borderId="63" xfId="0" applyFont="1" applyFill="1" applyBorder="1" applyAlignment="1">
      <alignment vertical="top" wrapText="1"/>
    </xf>
    <xf numFmtId="0" fontId="23" fillId="0" borderId="63" xfId="0" applyFont="1" applyFill="1" applyBorder="1" applyAlignment="1">
      <alignment horizontal="center" vertical="top" wrapText="1"/>
    </xf>
    <xf numFmtId="4" fontId="23" fillId="0" borderId="63" xfId="0" applyNumberFormat="1" applyFont="1" applyFill="1" applyBorder="1" applyAlignment="1">
      <alignment horizontal="center" vertical="top" wrapText="1"/>
    </xf>
    <xf numFmtId="0" fontId="23" fillId="0" borderId="76" xfId="0" applyFont="1" applyFill="1" applyBorder="1" applyAlignment="1">
      <alignment horizontal="center" vertical="top" wrapText="1"/>
    </xf>
    <xf numFmtId="49" fontId="21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2" fontId="21" fillId="0" borderId="0" xfId="0" applyNumberFormat="1" applyFont="1" applyFill="1" applyAlignment="1">
      <alignment horizontal="center" wrapText="1"/>
    </xf>
    <xf numFmtId="49" fontId="2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21" fillId="38" borderId="10" xfId="0" applyFont="1" applyFill="1" applyBorder="1" applyAlignment="1">
      <alignment horizontal="center" vertical="top" wrapText="1"/>
    </xf>
    <xf numFmtId="0" fontId="21" fillId="38" borderId="10" xfId="0" applyFont="1" applyFill="1" applyBorder="1" applyAlignment="1">
      <alignment vertical="top" wrapText="1"/>
    </xf>
    <xf numFmtId="2" fontId="21" fillId="38" borderId="55" xfId="0" applyNumberFormat="1" applyFont="1" applyFill="1" applyBorder="1" applyAlignment="1">
      <alignment horizontal="center" vertical="top" wrapText="1"/>
    </xf>
    <xf numFmtId="4" fontId="25" fillId="38" borderId="10" xfId="0" applyNumberFormat="1" applyFont="1" applyFill="1" applyBorder="1" applyAlignment="1">
      <alignment horizontal="center" vertical="top" wrapText="1"/>
    </xf>
    <xf numFmtId="2" fontId="25" fillId="38" borderId="55" xfId="0" applyNumberFormat="1" applyFont="1" applyFill="1" applyBorder="1" applyAlignment="1">
      <alignment horizontal="center" vertical="top" wrapText="1"/>
    </xf>
    <xf numFmtId="49" fontId="27" fillId="38" borderId="15" xfId="0" applyNumberFormat="1" applyFont="1" applyFill="1" applyBorder="1" applyAlignment="1">
      <alignment horizontal="center" vertical="top" wrapText="1"/>
    </xf>
    <xf numFmtId="0" fontId="22" fillId="38" borderId="10" xfId="0" applyFont="1" applyFill="1" applyBorder="1" applyAlignment="1">
      <alignment vertical="top" wrapText="1"/>
    </xf>
    <xf numFmtId="0" fontId="25" fillId="38" borderId="10" xfId="0" applyFont="1" applyFill="1" applyBorder="1" applyAlignment="1">
      <alignment horizontal="center" vertical="top" wrapText="1"/>
    </xf>
    <xf numFmtId="0" fontId="25" fillId="38" borderId="55" xfId="0" applyFont="1" applyFill="1" applyBorder="1" applyAlignment="1">
      <alignment horizontal="center" vertical="top" wrapText="1"/>
    </xf>
    <xf numFmtId="0" fontId="38" fillId="38" borderId="10" xfId="0" applyFont="1" applyFill="1" applyBorder="1" applyAlignment="1">
      <alignment vertical="top" wrapText="1"/>
    </xf>
    <xf numFmtId="0" fontId="27" fillId="38" borderId="10" xfId="0" applyFont="1" applyFill="1" applyBorder="1" applyAlignment="1">
      <alignment horizontal="center" vertical="top" wrapText="1"/>
    </xf>
    <xf numFmtId="4" fontId="27" fillId="38" borderId="10" xfId="0" applyNumberFormat="1" applyFont="1" applyFill="1" applyBorder="1" applyAlignment="1">
      <alignment horizontal="center" vertical="top" wrapText="1"/>
    </xf>
    <xf numFmtId="0" fontId="27" fillId="38" borderId="55" xfId="0" applyFont="1" applyFill="1" applyBorder="1" applyAlignment="1">
      <alignment horizontal="center" vertical="top" wrapText="1"/>
    </xf>
    <xf numFmtId="0" fontId="21" fillId="38" borderId="10" xfId="0" applyFont="1" applyFill="1" applyBorder="1" applyAlignment="1">
      <alignment wrapText="1"/>
    </xf>
    <xf numFmtId="49" fontId="25" fillId="38" borderId="15" xfId="0" applyNumberFormat="1" applyFont="1" applyFill="1" applyBorder="1" applyAlignment="1">
      <alignment horizontal="center" vertical="top" wrapText="1"/>
    </xf>
    <xf numFmtId="4" fontId="24" fillId="38" borderId="10" xfId="0" applyNumberFormat="1" applyFont="1" applyFill="1" applyBorder="1" applyAlignment="1">
      <alignment horizontal="center" vertical="top" wrapText="1"/>
    </xf>
    <xf numFmtId="0" fontId="26" fillId="38" borderId="34" xfId="0" applyFont="1" applyFill="1" applyBorder="1" applyAlignment="1">
      <alignment vertical="top" wrapText="1"/>
    </xf>
    <xf numFmtId="49" fontId="21" fillId="38" borderId="15" xfId="0" applyNumberFormat="1" applyFont="1" applyFill="1" applyBorder="1" applyAlignment="1">
      <alignment horizontal="center" vertical="top" wrapText="1"/>
    </xf>
    <xf numFmtId="4" fontId="21" fillId="38" borderId="10" xfId="0" applyNumberFormat="1" applyFont="1" applyFill="1" applyBorder="1" applyAlignment="1">
      <alignment horizontal="center" vertical="top" wrapText="1"/>
    </xf>
    <xf numFmtId="0" fontId="21" fillId="38" borderId="55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wrapText="1"/>
    </xf>
    <xf numFmtId="0" fontId="13" fillId="0" borderId="78" xfId="0" applyFont="1" applyFill="1" applyBorder="1" applyAlignment="1">
      <alignment horizontal="center" wrapText="1"/>
    </xf>
    <xf numFmtId="0" fontId="13" fillId="0" borderId="55" xfId="0" applyFont="1" applyFill="1" applyBorder="1" applyAlignment="1">
      <alignment horizontal="center" wrapText="1"/>
    </xf>
    <xf numFmtId="0" fontId="13" fillId="0" borderId="80" xfId="0" applyFont="1" applyFill="1" applyBorder="1" applyAlignment="1">
      <alignment horizontal="center" wrapText="1"/>
    </xf>
    <xf numFmtId="0" fontId="13" fillId="0" borderId="81" xfId="0" applyFont="1" applyFill="1" applyBorder="1" applyAlignment="1">
      <alignment horizontal="center" wrapText="1"/>
    </xf>
    <xf numFmtId="0" fontId="0" fillId="0" borderId="78" xfId="0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7" fillId="38" borderId="10" xfId="0" applyFont="1" applyFill="1" applyBorder="1" applyAlignment="1">
      <alignment vertical="top" wrapText="1"/>
    </xf>
    <xf numFmtId="4" fontId="27" fillId="38" borderId="55" xfId="0" applyNumberFormat="1" applyFont="1" applyFill="1" applyBorder="1" applyAlignment="1">
      <alignment horizontal="center" vertical="top" wrapText="1"/>
    </xf>
    <xf numFmtId="168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3" fontId="21" fillId="0" borderId="1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35" borderId="14" xfId="0" applyFont="1" applyFill="1" applyBorder="1" applyAlignment="1">
      <alignment horizontal="center" wrapText="1"/>
    </xf>
    <xf numFmtId="0" fontId="6" fillId="35" borderId="79" xfId="0" applyFont="1" applyFill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8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28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21" fillId="38" borderId="15" xfId="0" applyNumberFormat="1" applyFont="1" applyFill="1" applyBorder="1" applyAlignment="1">
      <alignment horizontal="center" vertical="top" wrapText="1"/>
    </xf>
    <xf numFmtId="4" fontId="21" fillId="38" borderId="10" xfId="0" applyNumberFormat="1" applyFont="1" applyFill="1" applyBorder="1" applyAlignment="1">
      <alignment horizontal="center" vertical="top" wrapText="1"/>
    </xf>
    <xf numFmtId="0" fontId="21" fillId="38" borderId="55" xfId="0" applyFont="1" applyFill="1" applyBorder="1" applyAlignment="1">
      <alignment horizontal="center" vertical="top" wrapText="1"/>
    </xf>
    <xf numFmtId="49" fontId="23" fillId="38" borderId="15" xfId="0" applyNumberFormat="1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vertical="top" wrapText="1"/>
    </xf>
    <xf numFmtId="0" fontId="15" fillId="38" borderId="55" xfId="0" applyFont="1" applyFill="1" applyBorder="1" applyAlignment="1">
      <alignment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55" xfId="0" applyFont="1" applyFill="1" applyBorder="1" applyAlignment="1">
      <alignment vertical="top" wrapText="1"/>
    </xf>
    <xf numFmtId="49" fontId="23" fillId="38" borderId="19" xfId="0" applyNumberFormat="1" applyFont="1" applyFill="1" applyBorder="1" applyAlignment="1">
      <alignment horizontal="center" vertical="top" wrapText="1"/>
    </xf>
    <xf numFmtId="0" fontId="15" fillId="38" borderId="11" xfId="0" applyFont="1" applyFill="1" applyBorder="1" applyAlignment="1">
      <alignment vertical="top" wrapText="1"/>
    </xf>
    <xf numFmtId="0" fontId="15" fillId="38" borderId="80" xfId="0" applyFont="1" applyFill="1" applyBorder="1" applyAlignment="1">
      <alignment vertical="top" wrapText="1"/>
    </xf>
    <xf numFmtId="0" fontId="23" fillId="0" borderId="6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28">
      <selection activeCell="B11" sqref="B11"/>
    </sheetView>
  </sheetViews>
  <sheetFormatPr defaultColWidth="9.00390625" defaultRowHeight="12.75"/>
  <cols>
    <col min="1" max="1" width="6.875" style="0" customWidth="1"/>
    <col min="2" max="2" width="59.375" style="0" customWidth="1"/>
    <col min="3" max="3" width="16.125" style="0" customWidth="1"/>
    <col min="4" max="4" width="14.50390625" style="3" customWidth="1"/>
    <col min="6" max="6" width="16.50390625" style="0" customWidth="1"/>
  </cols>
  <sheetData>
    <row r="1" spans="3:4" ht="13.5">
      <c r="C1" s="39" t="s">
        <v>532</v>
      </c>
      <c r="D1" s="743"/>
    </row>
    <row r="2" spans="3:4" ht="13.5">
      <c r="C2" s="39" t="s">
        <v>533</v>
      </c>
      <c r="D2" s="743"/>
    </row>
    <row r="3" spans="3:4" ht="13.5">
      <c r="C3" s="39"/>
      <c r="D3" s="743"/>
    </row>
    <row r="4" spans="3:4" ht="13.5">
      <c r="C4" s="39" t="s">
        <v>534</v>
      </c>
      <c r="D4" s="743" t="s">
        <v>535</v>
      </c>
    </row>
    <row r="5" spans="1:15" ht="36" customHeight="1">
      <c r="A5" s="871" t="s">
        <v>575</v>
      </c>
      <c r="B5" s="872"/>
      <c r="C5" s="872"/>
      <c r="D5" s="872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</row>
    <row r="6" ht="9" customHeight="1"/>
    <row r="7" spans="2:4" s="27" customFormat="1" ht="15.75" thickBot="1">
      <c r="B7" s="27" t="s">
        <v>549</v>
      </c>
      <c r="C7" s="321"/>
      <c r="D7" s="322"/>
    </row>
    <row r="8" spans="1:7" s="2" customFormat="1" ht="29.25" customHeight="1" thickBot="1">
      <c r="A8" s="404"/>
      <c r="B8" s="507" t="s">
        <v>0</v>
      </c>
      <c r="C8" s="508" t="s">
        <v>153</v>
      </c>
      <c r="D8" s="509" t="s">
        <v>511</v>
      </c>
      <c r="E8"/>
      <c r="F8"/>
      <c r="G8"/>
    </row>
    <row r="9" spans="1:7" s="239" customFormat="1" ht="15" customHeight="1" thickBot="1">
      <c r="A9" s="285" t="s">
        <v>88</v>
      </c>
      <c r="B9" s="290" t="s">
        <v>191</v>
      </c>
      <c r="C9" s="285" t="s">
        <v>89</v>
      </c>
      <c r="D9" s="512" t="s">
        <v>73</v>
      </c>
      <c r="E9"/>
      <c r="F9"/>
      <c r="G9"/>
    </row>
    <row r="10" spans="1:7" s="234" customFormat="1" ht="15" customHeight="1">
      <c r="A10" s="122" t="s">
        <v>191</v>
      </c>
      <c r="B10" s="510" t="s">
        <v>305</v>
      </c>
      <c r="C10" s="511" t="s">
        <v>170</v>
      </c>
      <c r="D10" s="858">
        <v>72</v>
      </c>
      <c r="E10"/>
      <c r="F10"/>
      <c r="G10"/>
    </row>
    <row r="11" spans="1:7" s="234" customFormat="1" ht="15" customHeight="1">
      <c r="A11" s="119" t="s">
        <v>89</v>
      </c>
      <c r="B11" s="236" t="s">
        <v>185</v>
      </c>
      <c r="C11" s="359" t="s">
        <v>170</v>
      </c>
      <c r="D11" s="859">
        <v>72</v>
      </c>
      <c r="E11"/>
      <c r="F11"/>
      <c r="G11"/>
    </row>
    <row r="12" spans="1:7" s="234" customFormat="1" ht="15" customHeight="1" thickBot="1">
      <c r="A12" s="244" t="s">
        <v>73</v>
      </c>
      <c r="B12" s="328" t="s">
        <v>186</v>
      </c>
      <c r="C12" s="360" t="s">
        <v>329</v>
      </c>
      <c r="D12" s="860">
        <v>91</v>
      </c>
      <c r="E12"/>
      <c r="F12"/>
      <c r="G12"/>
    </row>
    <row r="13" spans="1:7" s="4" customFormat="1" ht="27.75" customHeight="1" thickBot="1">
      <c r="A13" s="329" t="s">
        <v>74</v>
      </c>
      <c r="B13" s="294" t="s">
        <v>442</v>
      </c>
      <c r="C13" s="300" t="s">
        <v>317</v>
      </c>
      <c r="D13" s="736">
        <f>D14+D15+D16</f>
        <v>3971.3399999999997</v>
      </c>
      <c r="E13" s="5"/>
      <c r="F13" s="5"/>
      <c r="G13" s="5"/>
    </row>
    <row r="14" spans="1:7" s="332" customFormat="1" ht="15" customHeight="1">
      <c r="A14" s="122" t="s">
        <v>75</v>
      </c>
      <c r="B14" s="330" t="s">
        <v>66</v>
      </c>
      <c r="C14" s="331" t="s">
        <v>317</v>
      </c>
      <c r="D14" s="858">
        <v>131.8</v>
      </c>
      <c r="E14" s="113"/>
      <c r="F14" s="113"/>
      <c r="G14" s="113"/>
    </row>
    <row r="15" spans="1:7" s="332" customFormat="1" ht="15" customHeight="1" thickBot="1">
      <c r="A15" s="402" t="s">
        <v>76</v>
      </c>
      <c r="B15" s="401" t="s">
        <v>441</v>
      </c>
      <c r="C15" s="331" t="s">
        <v>317</v>
      </c>
      <c r="D15" s="861">
        <v>447.3</v>
      </c>
      <c r="E15" s="113"/>
      <c r="F15" s="113"/>
      <c r="G15" s="113"/>
    </row>
    <row r="16" spans="1:7" s="235" customFormat="1" ht="27.75" customHeight="1" thickBot="1">
      <c r="A16" s="329" t="s">
        <v>77</v>
      </c>
      <c r="B16" s="294" t="s">
        <v>443</v>
      </c>
      <c r="C16" s="295" t="s">
        <v>317</v>
      </c>
      <c r="D16" s="293">
        <f>D17+D18</f>
        <v>3392.24</v>
      </c>
      <c r="E16"/>
      <c r="F16"/>
      <c r="G16"/>
    </row>
    <row r="17" spans="1:7" s="1" customFormat="1" ht="15" customHeight="1">
      <c r="A17" s="122"/>
      <c r="B17" s="121" t="s">
        <v>399</v>
      </c>
      <c r="C17" s="18" t="s">
        <v>317</v>
      </c>
      <c r="D17" s="862">
        <v>3007.1</v>
      </c>
      <c r="E17"/>
      <c r="F17"/>
      <c r="G17"/>
    </row>
    <row r="18" spans="1:7" s="1" customFormat="1" ht="15" customHeight="1">
      <c r="A18" s="122"/>
      <c r="B18" s="121" t="s">
        <v>400</v>
      </c>
      <c r="C18" s="18" t="s">
        <v>317</v>
      </c>
      <c r="D18" s="862">
        <v>385.14</v>
      </c>
      <c r="E18"/>
      <c r="F18"/>
      <c r="G18"/>
    </row>
    <row r="19" spans="1:7" s="1" customFormat="1" ht="15" customHeight="1">
      <c r="A19" s="122" t="s">
        <v>78</v>
      </c>
      <c r="B19" s="121" t="s">
        <v>64</v>
      </c>
      <c r="C19" s="18" t="s">
        <v>317</v>
      </c>
      <c r="D19" s="862">
        <v>1289.34</v>
      </c>
      <c r="E19"/>
      <c r="F19"/>
      <c r="G19"/>
    </row>
    <row r="20" spans="1:7" s="1" customFormat="1" ht="15" customHeight="1">
      <c r="A20" s="119" t="s">
        <v>79</v>
      </c>
      <c r="B20" s="8" t="s">
        <v>310</v>
      </c>
      <c r="C20" s="7" t="s">
        <v>317</v>
      </c>
      <c r="D20" s="326">
        <v>678.45</v>
      </c>
      <c r="E20"/>
      <c r="F20"/>
      <c r="G20"/>
    </row>
    <row r="21" spans="1:7" s="1" customFormat="1" ht="15" customHeight="1">
      <c r="A21" s="119" t="s">
        <v>80</v>
      </c>
      <c r="B21" s="8" t="s">
        <v>309</v>
      </c>
      <c r="C21" s="7" t="s">
        <v>317</v>
      </c>
      <c r="D21" s="326">
        <v>678.45</v>
      </c>
      <c r="E21"/>
      <c r="F21"/>
      <c r="G21"/>
    </row>
    <row r="22" spans="1:7" s="1" customFormat="1" ht="15" customHeight="1">
      <c r="A22" s="119" t="s">
        <v>81</v>
      </c>
      <c r="B22" s="8" t="s">
        <v>65</v>
      </c>
      <c r="C22" s="7" t="s">
        <v>317</v>
      </c>
      <c r="D22" s="326">
        <v>678.45</v>
      </c>
      <c r="E22"/>
      <c r="F22"/>
      <c r="G22"/>
    </row>
    <row r="23" spans="1:7" s="1" customFormat="1" ht="15" customHeight="1">
      <c r="A23" s="119" t="s">
        <v>82</v>
      </c>
      <c r="B23" s="8" t="s">
        <v>518</v>
      </c>
      <c r="C23" s="7" t="s">
        <v>519</v>
      </c>
      <c r="D23" s="326">
        <v>19900</v>
      </c>
      <c r="E23"/>
      <c r="F23"/>
      <c r="G23"/>
    </row>
    <row r="24" spans="1:7" s="1" customFormat="1" ht="15" customHeight="1">
      <c r="A24" s="119" t="s">
        <v>157</v>
      </c>
      <c r="B24" s="8" t="s">
        <v>360</v>
      </c>
      <c r="C24" s="7" t="s">
        <v>361</v>
      </c>
      <c r="D24" s="326">
        <v>16</v>
      </c>
      <c r="E24"/>
      <c r="F24"/>
      <c r="G24"/>
    </row>
    <row r="25" spans="1:7" s="1" customFormat="1" ht="15" customHeight="1">
      <c r="A25" s="119" t="s">
        <v>83</v>
      </c>
      <c r="B25" s="8" t="s">
        <v>363</v>
      </c>
      <c r="C25" s="7" t="s">
        <v>362</v>
      </c>
      <c r="D25" s="326"/>
      <c r="E25"/>
      <c r="F25"/>
      <c r="G25"/>
    </row>
    <row r="26" spans="1:7" s="1" customFormat="1" ht="27.75" customHeight="1">
      <c r="A26" s="119" t="s">
        <v>158</v>
      </c>
      <c r="B26" s="8" t="s">
        <v>364</v>
      </c>
      <c r="C26" s="7" t="s">
        <v>362</v>
      </c>
      <c r="D26" s="326"/>
      <c r="E26"/>
      <c r="F26"/>
      <c r="G26"/>
    </row>
    <row r="27" spans="1:7" s="1" customFormat="1" ht="15" customHeight="1">
      <c r="A27" s="119" t="s">
        <v>159</v>
      </c>
      <c r="B27" s="8" t="s">
        <v>365</v>
      </c>
      <c r="C27" s="7" t="s">
        <v>362</v>
      </c>
      <c r="D27" s="326">
        <v>0</v>
      </c>
      <c r="E27"/>
      <c r="F27"/>
      <c r="G27"/>
    </row>
    <row r="28" spans="1:7" s="1" customFormat="1" ht="15" customHeight="1">
      <c r="A28" s="119" t="s">
        <v>160</v>
      </c>
      <c r="B28" s="8" t="s">
        <v>368</v>
      </c>
      <c r="C28" s="7" t="s">
        <v>362</v>
      </c>
      <c r="D28" s="326">
        <v>1624.8</v>
      </c>
      <c r="E28"/>
      <c r="F28"/>
      <c r="G28"/>
    </row>
    <row r="29" spans="1:7" s="1" customFormat="1" ht="27.75" customHeight="1">
      <c r="A29" s="119" t="s">
        <v>90</v>
      </c>
      <c r="B29" s="8" t="s">
        <v>369</v>
      </c>
      <c r="C29" s="7" t="s">
        <v>170</v>
      </c>
      <c r="D29" s="747">
        <f>435.5/15</f>
        <v>29.033333333333335</v>
      </c>
      <c r="E29"/>
      <c r="F29"/>
      <c r="G29"/>
    </row>
    <row r="30" spans="1:7" s="1" customFormat="1" ht="15" customHeight="1">
      <c r="A30" s="119" t="s">
        <v>91</v>
      </c>
      <c r="B30" s="8" t="s">
        <v>370</v>
      </c>
      <c r="C30" s="7" t="s">
        <v>170</v>
      </c>
      <c r="D30" s="326">
        <f>3+10</f>
        <v>13</v>
      </c>
      <c r="E30"/>
      <c r="F30"/>
      <c r="G30"/>
    </row>
    <row r="31" spans="1:7" s="1" customFormat="1" ht="15" customHeight="1">
      <c r="A31" s="119" t="s">
        <v>92</v>
      </c>
      <c r="B31" s="8" t="s">
        <v>366</v>
      </c>
      <c r="C31" s="7" t="s">
        <v>367</v>
      </c>
      <c r="D31" s="326">
        <f>227+160</f>
        <v>387</v>
      </c>
      <c r="E31"/>
      <c r="F31"/>
      <c r="G31"/>
    </row>
    <row r="32" spans="1:7" s="1" customFormat="1" ht="15" customHeight="1">
      <c r="A32" s="119" t="s">
        <v>93</v>
      </c>
      <c r="B32" s="8" t="s">
        <v>371</v>
      </c>
      <c r="C32" s="7" t="s">
        <v>367</v>
      </c>
      <c r="D32" s="326">
        <v>19</v>
      </c>
      <c r="E32"/>
      <c r="F32"/>
      <c r="G32"/>
    </row>
    <row r="33" spans="1:7" s="1" customFormat="1" ht="15" customHeight="1">
      <c r="A33" s="119" t="s">
        <v>94</v>
      </c>
      <c r="B33" s="8" t="s">
        <v>372</v>
      </c>
      <c r="C33" s="7" t="s">
        <v>367</v>
      </c>
      <c r="D33" s="326">
        <v>1</v>
      </c>
      <c r="E33"/>
      <c r="F33"/>
      <c r="G33"/>
    </row>
    <row r="34" spans="1:7" s="1" customFormat="1" ht="15" customHeight="1">
      <c r="A34" s="119" t="s">
        <v>95</v>
      </c>
      <c r="B34" s="8" t="s">
        <v>187</v>
      </c>
      <c r="C34" s="7" t="s">
        <v>170</v>
      </c>
      <c r="D34" s="326">
        <v>28</v>
      </c>
      <c r="E34"/>
      <c r="F34"/>
      <c r="G34"/>
    </row>
    <row r="35" spans="1:7" s="1" customFormat="1" ht="15" customHeight="1">
      <c r="A35" s="119" t="s">
        <v>96</v>
      </c>
      <c r="B35" s="8" t="s">
        <v>188</v>
      </c>
      <c r="C35" s="7" t="s">
        <v>170</v>
      </c>
      <c r="D35" s="326">
        <v>0</v>
      </c>
      <c r="E35"/>
      <c r="F35"/>
      <c r="G35"/>
    </row>
    <row r="36" spans="1:7" s="1" customFormat="1" ht="27" customHeight="1">
      <c r="A36" s="119" t="s">
        <v>97</v>
      </c>
      <c r="B36" s="8" t="s">
        <v>349</v>
      </c>
      <c r="C36" s="7" t="s">
        <v>328</v>
      </c>
      <c r="D36" s="326"/>
      <c r="E36"/>
      <c r="F36"/>
      <c r="G36"/>
    </row>
    <row r="37" spans="1:7" s="1" customFormat="1" ht="27" customHeight="1">
      <c r="A37" s="119" t="s">
        <v>161</v>
      </c>
      <c r="B37" s="8" t="s">
        <v>527</v>
      </c>
      <c r="C37" s="7" t="s">
        <v>328</v>
      </c>
      <c r="D37" s="327"/>
      <c r="E37"/>
      <c r="F37"/>
      <c r="G37"/>
    </row>
    <row r="38" spans="1:7" s="1" customFormat="1" ht="15" customHeight="1">
      <c r="A38" s="119" t="s">
        <v>162</v>
      </c>
      <c r="B38" s="8" t="s">
        <v>306</v>
      </c>
      <c r="C38" s="7" t="s">
        <v>170</v>
      </c>
      <c r="D38" s="326">
        <v>2</v>
      </c>
      <c r="E38"/>
      <c r="F38"/>
      <c r="G38"/>
    </row>
    <row r="39" spans="1:7" s="1" customFormat="1" ht="15" customHeight="1">
      <c r="A39" s="119" t="s">
        <v>353</v>
      </c>
      <c r="B39" s="8" t="s">
        <v>307</v>
      </c>
      <c r="C39" s="7" t="s">
        <v>170</v>
      </c>
      <c r="D39" s="326">
        <v>5</v>
      </c>
      <c r="E39"/>
      <c r="F39"/>
      <c r="G39"/>
    </row>
    <row r="40" spans="1:7" s="1" customFormat="1" ht="15" customHeight="1">
      <c r="A40" s="119" t="s">
        <v>354</v>
      </c>
      <c r="B40" s="8" t="s">
        <v>445</v>
      </c>
      <c r="C40" s="7" t="s">
        <v>317</v>
      </c>
      <c r="D40" s="326">
        <v>2225</v>
      </c>
      <c r="E40"/>
      <c r="F40"/>
      <c r="G40"/>
    </row>
    <row r="41" spans="1:7" s="1" customFormat="1" ht="15" customHeight="1">
      <c r="A41" s="119" t="s">
        <v>163</v>
      </c>
      <c r="B41" s="8" t="s">
        <v>446</v>
      </c>
      <c r="C41" s="7" t="s">
        <v>317</v>
      </c>
      <c r="D41" s="748">
        <v>0</v>
      </c>
      <c r="E41"/>
      <c r="F41"/>
      <c r="G41"/>
    </row>
    <row r="42" spans="1:7" s="1" customFormat="1" ht="15" customHeight="1">
      <c r="A42" s="119" t="s">
        <v>98</v>
      </c>
      <c r="B42" s="8" t="s">
        <v>528</v>
      </c>
      <c r="C42" s="7" t="s">
        <v>317</v>
      </c>
      <c r="D42" s="326"/>
      <c r="E42"/>
      <c r="F42"/>
      <c r="G42"/>
    </row>
    <row r="43" spans="1:7" s="1" customFormat="1" ht="15" customHeight="1">
      <c r="A43" s="119" t="s">
        <v>99</v>
      </c>
      <c r="B43" s="8" t="s">
        <v>447</v>
      </c>
      <c r="C43" s="7" t="s">
        <v>317</v>
      </c>
      <c r="D43" s="326">
        <v>523</v>
      </c>
      <c r="E43"/>
      <c r="F43"/>
      <c r="G43"/>
    </row>
    <row r="44" spans="1:7" s="1" customFormat="1" ht="15" customHeight="1">
      <c r="A44" s="119" t="s">
        <v>100</v>
      </c>
      <c r="B44" s="8" t="s">
        <v>448</v>
      </c>
      <c r="C44" s="7" t="s">
        <v>317</v>
      </c>
      <c r="D44" s="748">
        <v>0</v>
      </c>
      <c r="E44"/>
      <c r="F44"/>
      <c r="G44"/>
    </row>
    <row r="45" spans="1:7" s="1" customFormat="1" ht="15" customHeight="1">
      <c r="A45" s="119" t="s">
        <v>101</v>
      </c>
      <c r="B45" s="8" t="s">
        <v>449</v>
      </c>
      <c r="C45" s="7" t="s">
        <v>317</v>
      </c>
      <c r="D45" s="326"/>
      <c r="E45"/>
      <c r="F45"/>
      <c r="G45"/>
    </row>
    <row r="46" spans="1:7" s="1" customFormat="1" ht="15" customHeight="1">
      <c r="A46" s="119" t="s">
        <v>102</v>
      </c>
      <c r="B46" s="8" t="s">
        <v>444</v>
      </c>
      <c r="C46" s="7" t="s">
        <v>317</v>
      </c>
      <c r="D46" s="326">
        <v>337</v>
      </c>
      <c r="E46"/>
      <c r="F46"/>
      <c r="G46"/>
    </row>
    <row r="47" spans="1:7" s="1" customFormat="1" ht="15" customHeight="1">
      <c r="A47" s="119" t="s">
        <v>103</v>
      </c>
      <c r="B47" s="9" t="s">
        <v>373</v>
      </c>
      <c r="C47" s="7"/>
      <c r="D47" s="326"/>
      <c r="E47"/>
      <c r="F47"/>
      <c r="G47"/>
    </row>
    <row r="48" spans="1:7" s="1" customFormat="1" ht="15" customHeight="1">
      <c r="A48" s="119" t="s">
        <v>104</v>
      </c>
      <c r="B48" s="8" t="s">
        <v>374</v>
      </c>
      <c r="C48" s="7" t="s">
        <v>317</v>
      </c>
      <c r="D48" s="326"/>
      <c r="E48"/>
      <c r="F48"/>
      <c r="G48"/>
    </row>
    <row r="49" spans="1:7" s="1" customFormat="1" ht="15" customHeight="1">
      <c r="A49" s="119" t="s">
        <v>105</v>
      </c>
      <c r="B49" s="8" t="s">
        <v>375</v>
      </c>
      <c r="C49" s="7" t="s">
        <v>170</v>
      </c>
      <c r="D49" s="326"/>
      <c r="E49"/>
      <c r="F49"/>
      <c r="G49"/>
    </row>
    <row r="50" spans="1:7" s="1" customFormat="1" ht="15" customHeight="1">
      <c r="A50" s="119" t="s">
        <v>355</v>
      </c>
      <c r="B50" s="8" t="s">
        <v>373</v>
      </c>
      <c r="C50" s="7" t="s">
        <v>170</v>
      </c>
      <c r="D50" s="326">
        <v>0</v>
      </c>
      <c r="E50"/>
      <c r="F50"/>
      <c r="G50"/>
    </row>
    <row r="51" spans="1:7" s="1" customFormat="1" ht="15" customHeight="1">
      <c r="A51" s="119" t="s">
        <v>106</v>
      </c>
      <c r="B51" s="8" t="s">
        <v>376</v>
      </c>
      <c r="C51" s="7" t="s">
        <v>379</v>
      </c>
      <c r="D51" s="326"/>
      <c r="E51"/>
      <c r="F51"/>
      <c r="G51"/>
    </row>
    <row r="52" spans="1:7" s="1" customFormat="1" ht="15" customHeight="1">
      <c r="A52" s="119" t="s">
        <v>107</v>
      </c>
      <c r="B52" s="8" t="s">
        <v>377</v>
      </c>
      <c r="C52" s="7" t="s">
        <v>170</v>
      </c>
      <c r="D52" s="326"/>
      <c r="E52"/>
      <c r="F52"/>
      <c r="G52"/>
    </row>
    <row r="53" spans="1:7" s="1" customFormat="1" ht="15" customHeight="1" thickBot="1">
      <c r="A53" s="425" t="s">
        <v>520</v>
      </c>
      <c r="B53" s="426" t="s">
        <v>378</v>
      </c>
      <c r="C53" s="427" t="s">
        <v>170</v>
      </c>
      <c r="D53" s="857"/>
      <c r="E53"/>
      <c r="F53"/>
      <c r="G53"/>
    </row>
    <row r="54" spans="1:3" s="1" customFormat="1" ht="15.75" customHeight="1">
      <c r="A54"/>
      <c r="B54"/>
      <c r="C54"/>
    </row>
    <row r="55" spans="1:3" s="1" customFormat="1" ht="15.75" customHeight="1">
      <c r="A55"/>
      <c r="B55"/>
      <c r="C55"/>
    </row>
    <row r="56" spans="1:3" s="4" customFormat="1" ht="15.75" customHeight="1">
      <c r="A56"/>
      <c r="B56"/>
      <c r="C56"/>
    </row>
    <row r="57" spans="1:3" s="1" customFormat="1" ht="15.75" customHeight="1">
      <c r="A57"/>
      <c r="B57"/>
      <c r="C57"/>
    </row>
    <row r="58" spans="1:3" s="1" customFormat="1" ht="15.75" customHeight="1">
      <c r="A58"/>
      <c r="B58"/>
      <c r="C58"/>
    </row>
    <row r="59" spans="1:3" s="1" customFormat="1" ht="15.75" customHeight="1">
      <c r="A59"/>
      <c r="B59"/>
      <c r="C59"/>
    </row>
    <row r="60" spans="1:3" s="4" customFormat="1" ht="15.75" customHeight="1">
      <c r="A60" s="5"/>
      <c r="B60" s="5"/>
      <c r="C60" s="5"/>
    </row>
    <row r="61" ht="15.75" customHeight="1">
      <c r="D61"/>
    </row>
    <row r="62" spans="1:3" s="1" customFormat="1" ht="20.25" customHeight="1">
      <c r="A62"/>
      <c r="B62"/>
      <c r="C62"/>
    </row>
    <row r="63" ht="15.75" customHeight="1">
      <c r="D63"/>
    </row>
  </sheetData>
  <sheetProtection/>
  <mergeCells count="1">
    <mergeCell ref="A5:D5"/>
  </mergeCells>
  <printOptions/>
  <pageMargins left="0.5905511811023623" right="0.3937007874015748" top="0.35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G60" sqref="G60"/>
    </sheetView>
  </sheetViews>
  <sheetFormatPr defaultColWidth="9.00390625" defaultRowHeight="12.75"/>
  <cols>
    <col min="1" max="1" width="45.50390625" style="0" customWidth="1"/>
    <col min="2" max="2" width="10.00390625" style="3" customWidth="1"/>
    <col min="3" max="3" width="10.625" style="3" bestFit="1" customWidth="1"/>
    <col min="4" max="4" width="10.375" style="3" customWidth="1"/>
    <col min="5" max="5" width="9.875" style="3" customWidth="1"/>
    <col min="6" max="6" width="9.50390625" style="3" customWidth="1"/>
    <col min="7" max="7" width="13.125" style="3" customWidth="1"/>
    <col min="8" max="8" width="7.50390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50390625" style="0" bestFit="1" customWidth="1"/>
    <col min="17" max="17" width="11.50390625" style="0" bestFit="1" customWidth="1"/>
  </cols>
  <sheetData>
    <row r="1" spans="1:13" s="6" customFormat="1" ht="18" thickBot="1">
      <c r="A1" s="880" t="s">
        <v>500</v>
      </c>
      <c r="B1" s="880"/>
      <c r="C1" s="880"/>
      <c r="D1" s="880"/>
      <c r="E1" s="880"/>
      <c r="F1" s="880"/>
      <c r="G1" s="880"/>
      <c r="H1" s="216"/>
      <c r="I1" s="216"/>
      <c r="J1" s="216"/>
      <c r="K1" s="216"/>
      <c r="L1" s="219" t="s">
        <v>150</v>
      </c>
      <c r="M1" s="216"/>
    </row>
    <row r="2" spans="1:13" ht="13.5" thickBot="1">
      <c r="A2" s="128" t="s">
        <v>466</v>
      </c>
      <c r="M2" s="26" t="s">
        <v>58</v>
      </c>
    </row>
    <row r="3" spans="1:13" ht="29.25" customHeight="1">
      <c r="A3" s="881" t="s">
        <v>0</v>
      </c>
      <c r="B3" s="883" t="s">
        <v>110</v>
      </c>
      <c r="C3" s="873" t="s">
        <v>465</v>
      </c>
      <c r="D3" s="873"/>
      <c r="E3" s="873"/>
      <c r="F3" s="873"/>
      <c r="G3" s="874"/>
      <c r="H3" s="875" t="s">
        <v>165</v>
      </c>
      <c r="I3" s="876"/>
      <c r="J3" s="876"/>
      <c r="K3" s="876"/>
      <c r="L3" s="877"/>
      <c r="M3" s="105"/>
    </row>
    <row r="4" spans="1:14" s="2" customFormat="1" ht="52.5">
      <c r="A4" s="882"/>
      <c r="B4" s="884"/>
      <c r="C4" s="7" t="s">
        <v>4</v>
      </c>
      <c r="D4" s="7" t="s">
        <v>510</v>
      </c>
      <c r="E4" s="7" t="s">
        <v>347</v>
      </c>
      <c r="F4" s="7" t="s">
        <v>336</v>
      </c>
      <c r="G4" s="517" t="s">
        <v>9</v>
      </c>
      <c r="H4" s="250" t="s">
        <v>4</v>
      </c>
      <c r="I4" s="7" t="s">
        <v>60</v>
      </c>
      <c r="J4" s="7" t="s">
        <v>59</v>
      </c>
      <c r="K4" s="7" t="s">
        <v>8</v>
      </c>
      <c r="L4" s="13" t="s">
        <v>9</v>
      </c>
      <c r="M4" s="17" t="s">
        <v>63</v>
      </c>
      <c r="N4"/>
    </row>
    <row r="5" spans="1:14" s="2" customFormat="1" ht="15" customHeight="1" thickBot="1">
      <c r="A5" s="518"/>
      <c r="B5" s="427"/>
      <c r="C5" s="427"/>
      <c r="D5" s="427" t="s">
        <v>317</v>
      </c>
      <c r="E5" s="427" t="s">
        <v>317</v>
      </c>
      <c r="F5" s="427" t="s">
        <v>334</v>
      </c>
      <c r="G5" s="519" t="s">
        <v>58</v>
      </c>
      <c r="H5" s="246"/>
      <c r="I5" s="18"/>
      <c r="J5" s="297"/>
      <c r="K5" s="246"/>
      <c r="L5" s="94"/>
      <c r="M5" s="17"/>
      <c r="N5"/>
    </row>
    <row r="6" spans="1:14" s="2" customFormat="1" ht="16.5" customHeight="1" thickBot="1">
      <c r="A6" s="513">
        <v>1</v>
      </c>
      <c r="B6" s="514">
        <v>2</v>
      </c>
      <c r="C6" s="515">
        <v>3</v>
      </c>
      <c r="D6" s="247">
        <v>4</v>
      </c>
      <c r="E6" s="247">
        <v>5</v>
      </c>
      <c r="F6" s="247">
        <v>6</v>
      </c>
      <c r="G6" s="516">
        <v>7</v>
      </c>
      <c r="H6" s="246">
        <v>8</v>
      </c>
      <c r="I6" s="18">
        <v>9</v>
      </c>
      <c r="J6" s="25">
        <v>10</v>
      </c>
      <c r="K6" s="82">
        <v>11</v>
      </c>
      <c r="L6" s="94">
        <v>12</v>
      </c>
      <c r="M6" s="17">
        <v>13</v>
      </c>
      <c r="N6"/>
    </row>
    <row r="7" spans="1:14" s="28" customFormat="1" ht="14.25" customHeight="1">
      <c r="A7" s="175" t="s">
        <v>62</v>
      </c>
      <c r="B7" s="289" t="s">
        <v>317</v>
      </c>
      <c r="C7" s="683"/>
      <c r="D7" s="684">
        <f>'Исход дан'!D16</f>
        <v>3392.24</v>
      </c>
      <c r="E7" s="685"/>
      <c r="F7" s="685"/>
      <c r="G7" s="458"/>
      <c r="H7" s="233"/>
      <c r="I7" s="9">
        <f>D7</f>
        <v>3392.24</v>
      </c>
      <c r="J7" s="9"/>
      <c r="K7" s="9"/>
      <c r="L7" s="24"/>
      <c r="M7" s="106"/>
      <c r="N7"/>
    </row>
    <row r="8" spans="1:14" s="2" customFormat="1" ht="15" customHeight="1">
      <c r="A8" s="61" t="s">
        <v>1</v>
      </c>
      <c r="B8" s="106"/>
      <c r="C8" s="448"/>
      <c r="D8" s="218"/>
      <c r="E8" s="218"/>
      <c r="F8" s="218"/>
      <c r="G8" s="665"/>
      <c r="H8" s="250"/>
      <c r="I8" s="7"/>
      <c r="J8" s="7"/>
      <c r="K8" s="7"/>
      <c r="L8" s="13"/>
      <c r="M8" s="17"/>
      <c r="N8"/>
    </row>
    <row r="9" spans="1:16" s="1" customFormat="1" ht="21.75" customHeight="1">
      <c r="A9" s="87" t="s">
        <v>459</v>
      </c>
      <c r="B9" s="17" t="s">
        <v>317</v>
      </c>
      <c r="C9" s="448" t="s">
        <v>337</v>
      </c>
      <c r="D9" s="525">
        <f>'Исход дан'!D14+'Исход дан'!D15</f>
        <v>579.1</v>
      </c>
      <c r="E9" s="218">
        <v>790</v>
      </c>
      <c r="F9" s="649">
        <f>D9/E9</f>
        <v>0.7330379746835444</v>
      </c>
      <c r="G9" s="665"/>
      <c r="H9" s="250"/>
      <c r="I9" s="7">
        <f>D9</f>
        <v>579.1</v>
      </c>
      <c r="J9" s="7">
        <v>790</v>
      </c>
      <c r="K9" s="92"/>
      <c r="L9" s="13"/>
      <c r="M9" s="17"/>
      <c r="N9"/>
      <c r="P9" s="1">
        <v>1265</v>
      </c>
    </row>
    <row r="10" spans="1:14" s="1" customFormat="1" ht="15.75" customHeight="1" thickBot="1">
      <c r="A10" s="91" t="s">
        <v>414</v>
      </c>
      <c r="B10" s="430"/>
      <c r="C10" s="462" t="s">
        <v>337</v>
      </c>
      <c r="D10" s="245" t="s">
        <v>337</v>
      </c>
      <c r="E10" s="245" t="s">
        <v>337</v>
      </c>
      <c r="F10" s="421">
        <v>1.12</v>
      </c>
      <c r="G10" s="666"/>
      <c r="H10" s="250"/>
      <c r="I10" s="7"/>
      <c r="J10" s="7"/>
      <c r="K10" s="84"/>
      <c r="L10" s="95"/>
      <c r="M10" s="17"/>
      <c r="N10"/>
    </row>
    <row r="11" spans="1:14" s="4" customFormat="1" ht="18.75" customHeight="1" thickBot="1">
      <c r="A11" s="351" t="s">
        <v>457</v>
      </c>
      <c r="B11" s="431" t="s">
        <v>334</v>
      </c>
      <c r="C11" s="686"/>
      <c r="D11" s="687"/>
      <c r="E11" s="687"/>
      <c r="F11" s="688">
        <f>F9*F10</f>
        <v>0.8210025316455698</v>
      </c>
      <c r="G11" s="352"/>
      <c r="H11" s="233"/>
      <c r="I11" s="9"/>
      <c r="J11" s="9"/>
      <c r="K11" s="80"/>
      <c r="L11" s="96"/>
      <c r="M11" s="106"/>
      <c r="N11"/>
    </row>
    <row r="12" spans="1:16" s="1" customFormat="1" ht="24" customHeight="1">
      <c r="A12" s="298" t="s">
        <v>416</v>
      </c>
      <c r="B12" s="110" t="s">
        <v>338</v>
      </c>
      <c r="C12" s="452">
        <v>6000</v>
      </c>
      <c r="D12" s="463" t="s">
        <v>337</v>
      </c>
      <c r="E12" s="463" t="s">
        <v>337</v>
      </c>
      <c r="F12" s="648">
        <f>F11</f>
        <v>0.8210025316455698</v>
      </c>
      <c r="G12" s="667">
        <f>C12*F12*12</f>
        <v>59112.18227848102</v>
      </c>
      <c r="H12" s="250">
        <f>C12</f>
        <v>6000</v>
      </c>
      <c r="I12" s="85">
        <f>I9</f>
        <v>579.1</v>
      </c>
      <c r="J12" s="7">
        <v>377.66</v>
      </c>
      <c r="K12" s="81">
        <f>I12*J12/100</f>
        <v>2187.0290600000003</v>
      </c>
      <c r="L12" s="97">
        <f>K12*12</f>
        <v>26244.34872</v>
      </c>
      <c r="M12" s="107">
        <f aca="true" t="shared" si="0" ref="M12:M19">G12-L12</f>
        <v>32867.83355848102</v>
      </c>
      <c r="N12" s="878"/>
      <c r="O12" s="879"/>
      <c r="P12" s="879"/>
    </row>
    <row r="13" spans="1:14" s="1" customFormat="1" ht="15" customHeight="1">
      <c r="A13" s="87" t="s">
        <v>537</v>
      </c>
      <c r="B13" s="110" t="s">
        <v>338</v>
      </c>
      <c r="C13" s="745">
        <v>2300</v>
      </c>
      <c r="D13" s="218" t="s">
        <v>337</v>
      </c>
      <c r="E13" s="218" t="s">
        <v>337</v>
      </c>
      <c r="F13" s="648">
        <f>F12</f>
        <v>0.8210025316455698</v>
      </c>
      <c r="G13" s="667">
        <f>C13*F13*12</f>
        <v>22659.669873417726</v>
      </c>
      <c r="H13" s="251">
        <f>C13</f>
        <v>2300</v>
      </c>
      <c r="I13" s="7"/>
      <c r="J13" s="7">
        <v>188.83</v>
      </c>
      <c r="K13" s="81">
        <f>I12*J13/100</f>
        <v>1093.5145300000001</v>
      </c>
      <c r="L13" s="97">
        <f>K13*12</f>
        <v>13122.17436</v>
      </c>
      <c r="M13" s="107">
        <f t="shared" si="0"/>
        <v>9537.495513417725</v>
      </c>
      <c r="N13"/>
    </row>
    <row r="14" spans="1:14" s="4" customFormat="1" ht="15" customHeight="1">
      <c r="A14" s="354" t="s">
        <v>10</v>
      </c>
      <c r="B14" s="438" t="s">
        <v>464</v>
      </c>
      <c r="C14" s="449" t="s">
        <v>337</v>
      </c>
      <c r="D14" s="447" t="s">
        <v>337</v>
      </c>
      <c r="E14" s="447" t="s">
        <v>337</v>
      </c>
      <c r="F14" s="447" t="s">
        <v>337</v>
      </c>
      <c r="G14" s="460">
        <f>G12+G13</f>
        <v>81771.85215189875</v>
      </c>
      <c r="H14" s="233"/>
      <c r="I14" s="9"/>
      <c r="J14" s="9">
        <f>J12+J13</f>
        <v>566.49</v>
      </c>
      <c r="K14" s="86">
        <f>SUM(K12:K13)</f>
        <v>3280.54359</v>
      </c>
      <c r="L14" s="98">
        <f>SUM(L12:L13)</f>
        <v>39366.52308</v>
      </c>
      <c r="M14" s="107">
        <f t="shared" si="0"/>
        <v>42405.329071898756</v>
      </c>
      <c r="N14"/>
    </row>
    <row r="15" spans="1:14" s="248" customFormat="1" ht="15" customHeight="1">
      <c r="A15" s="88" t="s">
        <v>12</v>
      </c>
      <c r="B15" s="432" t="s">
        <v>195</v>
      </c>
      <c r="C15" s="690">
        <v>0.302</v>
      </c>
      <c r="D15" s="218" t="s">
        <v>337</v>
      </c>
      <c r="E15" s="218" t="s">
        <v>337</v>
      </c>
      <c r="F15" s="218" t="s">
        <v>337</v>
      </c>
      <c r="G15" s="668">
        <f>G14*C15</f>
        <v>24695.099349873424</v>
      </c>
      <c r="H15" s="303">
        <v>0.262</v>
      </c>
      <c r="I15" s="151"/>
      <c r="J15" s="151">
        <v>148.42</v>
      </c>
      <c r="K15" s="302">
        <f>I12*J15/100</f>
        <v>859.50022</v>
      </c>
      <c r="L15" s="304">
        <f>K15*12</f>
        <v>10314.00264</v>
      </c>
      <c r="M15" s="305">
        <f t="shared" si="0"/>
        <v>14381.096709873424</v>
      </c>
      <c r="N15" s="31"/>
    </row>
    <row r="16" spans="1:14" s="248" customFormat="1" ht="15" customHeight="1">
      <c r="A16" s="88" t="s">
        <v>6</v>
      </c>
      <c r="B16" s="411" t="s">
        <v>346</v>
      </c>
      <c r="C16" s="691">
        <f>'спец инв'!H13</f>
        <v>682</v>
      </c>
      <c r="D16" s="218" t="s">
        <v>337</v>
      </c>
      <c r="E16" s="218" t="s">
        <v>337</v>
      </c>
      <c r="F16" s="664">
        <f>F11</f>
        <v>0.8210025316455698</v>
      </c>
      <c r="G16" s="489">
        <f>C16*F16</f>
        <v>559.9237265822786</v>
      </c>
      <c r="H16" s="241">
        <v>14.51</v>
      </c>
      <c r="I16" s="151"/>
      <c r="J16" s="151">
        <v>2.63</v>
      </c>
      <c r="K16" s="306">
        <f>J16*I12/100</f>
        <v>15.230329999999999</v>
      </c>
      <c r="L16" s="304">
        <f>K16*12</f>
        <v>182.76396</v>
      </c>
      <c r="M16" s="305">
        <f t="shared" si="0"/>
        <v>377.1597665822786</v>
      </c>
      <c r="N16" s="31"/>
    </row>
    <row r="17" spans="1:14" s="248" customFormat="1" ht="15" customHeight="1">
      <c r="A17" s="88" t="s">
        <v>335</v>
      </c>
      <c r="B17" s="411" t="s">
        <v>346</v>
      </c>
      <c r="C17" s="691">
        <f>'спец инв'!H43</f>
        <v>1430</v>
      </c>
      <c r="D17" s="218" t="s">
        <v>337</v>
      </c>
      <c r="E17" s="218" t="s">
        <v>337</v>
      </c>
      <c r="F17" s="664">
        <f>F11</f>
        <v>0.8210025316455698</v>
      </c>
      <c r="G17" s="489">
        <f>C17*F17</f>
        <v>1174.0336202531648</v>
      </c>
      <c r="H17" s="241">
        <v>21.86</v>
      </c>
      <c r="I17" s="151"/>
      <c r="J17" s="151">
        <v>6.59</v>
      </c>
      <c r="K17" s="306">
        <f>I12*J17/100</f>
        <v>38.162690000000005</v>
      </c>
      <c r="L17" s="304">
        <f>K17*12</f>
        <v>457.9522800000001</v>
      </c>
      <c r="M17" s="305">
        <f t="shared" si="0"/>
        <v>716.0813402531647</v>
      </c>
      <c r="N17" s="31"/>
    </row>
    <row r="18" spans="1:14" s="248" customFormat="1" ht="15" customHeight="1" thickBot="1">
      <c r="A18" s="345" t="s">
        <v>333</v>
      </c>
      <c r="B18" s="433" t="s">
        <v>339</v>
      </c>
      <c r="C18" s="691">
        <f>'спец инв'!H44</f>
        <v>2.88</v>
      </c>
      <c r="D18" s="245">
        <f>D9</f>
        <v>579.1</v>
      </c>
      <c r="E18" s="245" t="s">
        <v>337</v>
      </c>
      <c r="F18" s="421" t="s">
        <v>337</v>
      </c>
      <c r="G18" s="669">
        <f>C18*D18</f>
        <v>1667.808</v>
      </c>
      <c r="H18" s="241"/>
      <c r="I18" s="151"/>
      <c r="J18" s="151"/>
      <c r="K18" s="306"/>
      <c r="L18" s="304"/>
      <c r="M18" s="305"/>
      <c r="N18" s="31"/>
    </row>
    <row r="19" spans="1:14" s="4" customFormat="1" ht="30.75" customHeight="1" thickBot="1">
      <c r="A19" s="299" t="s">
        <v>415</v>
      </c>
      <c r="B19" s="434"/>
      <c r="C19" s="450" t="s">
        <v>337</v>
      </c>
      <c r="D19" s="456" t="s">
        <v>337</v>
      </c>
      <c r="E19" s="456" t="s">
        <v>337</v>
      </c>
      <c r="F19" s="456" t="s">
        <v>337</v>
      </c>
      <c r="G19" s="670">
        <f>G14+G15+G16+G17+G18</f>
        <v>109868.71684860763</v>
      </c>
      <c r="H19" s="253"/>
      <c r="I19" s="117"/>
      <c r="J19" s="182">
        <f>SUM(J14:J18)</f>
        <v>724.13</v>
      </c>
      <c r="K19" s="182">
        <f>SUM(K14:K18)</f>
        <v>4193.436830000001</v>
      </c>
      <c r="L19" s="183">
        <f>SUM(L14:L18)</f>
        <v>50321.24195999999</v>
      </c>
      <c r="M19" s="171">
        <f t="shared" si="0"/>
        <v>59547.474888607634</v>
      </c>
      <c r="N19"/>
    </row>
    <row r="20" spans="1:14" s="1" customFormat="1" ht="15" customHeight="1">
      <c r="A20" s="175" t="s">
        <v>7</v>
      </c>
      <c r="B20" s="289"/>
      <c r="C20" s="452"/>
      <c r="D20" s="463"/>
      <c r="E20" s="463"/>
      <c r="F20" s="463"/>
      <c r="G20" s="671"/>
      <c r="H20" s="246" t="s">
        <v>166</v>
      </c>
      <c r="I20" s="18"/>
      <c r="J20" s="7" t="s">
        <v>164</v>
      </c>
      <c r="K20" s="7" t="s">
        <v>8</v>
      </c>
      <c r="L20" s="13" t="s">
        <v>9</v>
      </c>
      <c r="M20" s="110"/>
      <c r="N20"/>
    </row>
    <row r="21" spans="1:14" s="1" customFormat="1" ht="15" customHeight="1">
      <c r="A21" s="87" t="s">
        <v>462</v>
      </c>
      <c r="B21" s="17"/>
      <c r="C21" s="448"/>
      <c r="D21" s="218"/>
      <c r="E21" s="218"/>
      <c r="F21" s="218"/>
      <c r="G21" s="665"/>
      <c r="H21" s="250"/>
      <c r="I21" s="7"/>
      <c r="J21" s="7"/>
      <c r="K21" s="7"/>
      <c r="L21" s="13"/>
      <c r="M21" s="17"/>
      <c r="N21"/>
    </row>
    <row r="22" spans="1:14" s="1" customFormat="1" ht="15" customHeight="1">
      <c r="A22" s="416" t="s">
        <v>450</v>
      </c>
      <c r="B22" s="435"/>
      <c r="C22" s="448" t="s">
        <v>337</v>
      </c>
      <c r="D22" s="422">
        <f>'Исход дан'!D40</f>
        <v>2225</v>
      </c>
      <c r="E22" s="422">
        <v>3630</v>
      </c>
      <c r="F22" s="649">
        <f>D22/E22</f>
        <v>0.6129476584022039</v>
      </c>
      <c r="G22" s="672"/>
      <c r="H22" s="254">
        <v>6.5</v>
      </c>
      <c r="I22" s="222">
        <f>D22</f>
        <v>2225</v>
      </c>
      <c r="J22" s="222">
        <v>215.67</v>
      </c>
      <c r="K22" s="223">
        <f>J22*I22/100</f>
        <v>4798.6575</v>
      </c>
      <c r="L22" s="226">
        <f>K22*H22</f>
        <v>31191.27375</v>
      </c>
      <c r="M22" s="224"/>
      <c r="N22"/>
    </row>
    <row r="23" spans="1:16" s="1" customFormat="1" ht="15" customHeight="1">
      <c r="A23" s="416" t="s">
        <v>451</v>
      </c>
      <c r="B23" s="435"/>
      <c r="C23" s="448" t="s">
        <v>337</v>
      </c>
      <c r="D23" s="422">
        <f>'Исход дан'!D41</f>
        <v>0</v>
      </c>
      <c r="E23" s="422">
        <v>3080</v>
      </c>
      <c r="F23" s="649">
        <f>ROUND(D23/E23,3)</f>
        <v>0</v>
      </c>
      <c r="G23" s="672"/>
      <c r="H23" s="255">
        <v>5.5</v>
      </c>
      <c r="I23" s="220">
        <f>I22</f>
        <v>2225</v>
      </c>
      <c r="J23" s="220">
        <v>650.95</v>
      </c>
      <c r="K23" s="221">
        <f>J23*I23/100</f>
        <v>14483.6375</v>
      </c>
      <c r="L23" s="227">
        <f>K23*H23</f>
        <v>79660.00625</v>
      </c>
      <c r="M23" s="225"/>
      <c r="N23"/>
      <c r="P23" s="1" t="s">
        <v>461</v>
      </c>
    </row>
    <row r="24" spans="1:14" s="1" customFormat="1" ht="15" customHeight="1">
      <c r="A24" s="416" t="s">
        <v>452</v>
      </c>
      <c r="B24" s="435"/>
      <c r="C24" s="448" t="s">
        <v>337</v>
      </c>
      <c r="D24" s="422">
        <f>'Исход дан'!D42</f>
        <v>0</v>
      </c>
      <c r="E24" s="422">
        <v>2500</v>
      </c>
      <c r="F24" s="649">
        <f>ROUND(D24/E24,3)</f>
        <v>0</v>
      </c>
      <c r="G24" s="672"/>
      <c r="H24" s="250"/>
      <c r="I24" s="7"/>
      <c r="J24" s="7"/>
      <c r="K24" s="10"/>
      <c r="L24" s="120"/>
      <c r="M24" s="17"/>
      <c r="N24"/>
    </row>
    <row r="25" spans="1:14" s="1" customFormat="1" ht="15" customHeight="1">
      <c r="A25" s="416"/>
      <c r="B25" s="435"/>
      <c r="C25" s="448"/>
      <c r="D25" s="422"/>
      <c r="E25" s="422"/>
      <c r="F25" s="692"/>
      <c r="G25" s="672"/>
      <c r="H25" s="250"/>
      <c r="I25" s="7"/>
      <c r="J25" s="7"/>
      <c r="K25" s="10"/>
      <c r="L25" s="120"/>
      <c r="M25" s="17"/>
      <c r="N25"/>
    </row>
    <row r="26" spans="1:14" s="1" customFormat="1" ht="15" customHeight="1">
      <c r="A26" s="416" t="s">
        <v>453</v>
      </c>
      <c r="B26" s="435"/>
      <c r="C26" s="448" t="s">
        <v>337</v>
      </c>
      <c r="D26" s="422">
        <f>'Исход дан'!D43</f>
        <v>523</v>
      </c>
      <c r="E26" s="422">
        <v>2340</v>
      </c>
      <c r="F26" s="649">
        <f>ROUND(D26/E26,3)</f>
        <v>0.224</v>
      </c>
      <c r="G26" s="672"/>
      <c r="H26" s="254">
        <v>6.5</v>
      </c>
      <c r="I26" s="222">
        <f>D26</f>
        <v>523</v>
      </c>
      <c r="J26" s="222">
        <v>279.99</v>
      </c>
      <c r="K26" s="223">
        <f>J26*I26/100</f>
        <v>1464.3477000000003</v>
      </c>
      <c r="L26" s="226">
        <f>K26*H26</f>
        <v>9518.26005</v>
      </c>
      <c r="M26" s="224"/>
      <c r="N26"/>
    </row>
    <row r="27" spans="1:14" s="1" customFormat="1" ht="15" customHeight="1">
      <c r="A27" s="416" t="s">
        <v>454</v>
      </c>
      <c r="B27" s="435"/>
      <c r="C27" s="448" t="s">
        <v>337</v>
      </c>
      <c r="D27" s="422">
        <f>'Исход дан'!D44</f>
        <v>0</v>
      </c>
      <c r="E27" s="422">
        <v>1980</v>
      </c>
      <c r="F27" s="649">
        <f>ROUND(D27/E27,3)</f>
        <v>0</v>
      </c>
      <c r="G27" s="672"/>
      <c r="H27" s="255">
        <v>5.5</v>
      </c>
      <c r="I27" s="220">
        <f>I26</f>
        <v>523</v>
      </c>
      <c r="J27" s="220">
        <v>931.98</v>
      </c>
      <c r="K27" s="221">
        <f>J27*I27/100</f>
        <v>4874.2554</v>
      </c>
      <c r="L27" s="227">
        <f>K27*H27</f>
        <v>26808.4047</v>
      </c>
      <c r="M27" s="225"/>
      <c r="N27"/>
    </row>
    <row r="28" spans="1:14" s="1" customFormat="1" ht="15" customHeight="1">
      <c r="A28" s="416" t="s">
        <v>455</v>
      </c>
      <c r="B28" s="435"/>
      <c r="C28" s="448" t="s">
        <v>337</v>
      </c>
      <c r="D28" s="422">
        <f>'Исход дан'!D45</f>
        <v>0</v>
      </c>
      <c r="E28" s="422">
        <v>1610</v>
      </c>
      <c r="F28" s="649">
        <f>ROUND(D28/E28,3)</f>
        <v>0</v>
      </c>
      <c r="G28" s="672"/>
      <c r="H28" s="250"/>
      <c r="I28" s="7"/>
      <c r="J28" s="7"/>
      <c r="K28" s="10"/>
      <c r="L28" s="120"/>
      <c r="M28" s="17"/>
      <c r="N28"/>
    </row>
    <row r="29" spans="1:14" s="1" customFormat="1" ht="15" customHeight="1">
      <c r="A29" s="416"/>
      <c r="B29" s="435"/>
      <c r="C29" s="448"/>
      <c r="D29" s="422"/>
      <c r="E29" s="422"/>
      <c r="F29" s="692"/>
      <c r="G29" s="672"/>
      <c r="H29" s="250"/>
      <c r="I29" s="7"/>
      <c r="J29" s="7"/>
      <c r="K29" s="10"/>
      <c r="L29" s="120"/>
      <c r="M29" s="17"/>
      <c r="N29"/>
    </row>
    <row r="30" spans="1:14" s="1" customFormat="1" ht="15" customHeight="1">
      <c r="A30" s="416" t="s">
        <v>456</v>
      </c>
      <c r="B30" s="435"/>
      <c r="C30" s="448" t="s">
        <v>337</v>
      </c>
      <c r="D30" s="422">
        <f>'Исход дан'!D46</f>
        <v>337</v>
      </c>
      <c r="E30" s="422">
        <v>30000</v>
      </c>
      <c r="F30" s="649">
        <f>ROUND(D30/E30,3)</f>
        <v>0.011</v>
      </c>
      <c r="G30" s="672"/>
      <c r="H30" s="254">
        <v>6.5</v>
      </c>
      <c r="I30" s="222">
        <f>D30</f>
        <v>337</v>
      </c>
      <c r="J30" s="222">
        <v>77.76</v>
      </c>
      <c r="K30" s="223">
        <f>J30*I30/100</f>
        <v>262.05120000000005</v>
      </c>
      <c r="L30" s="226">
        <f>K30*H30</f>
        <v>1703.3328000000004</v>
      </c>
      <c r="M30" s="224"/>
      <c r="N30"/>
    </row>
    <row r="31" spans="1:14" s="5" customFormat="1" ht="15" customHeight="1">
      <c r="A31" s="417" t="s">
        <v>460</v>
      </c>
      <c r="B31" s="436" t="s">
        <v>334</v>
      </c>
      <c r="C31" s="448" t="s">
        <v>337</v>
      </c>
      <c r="D31" s="218" t="s">
        <v>337</v>
      </c>
      <c r="E31" s="218" t="s">
        <v>337</v>
      </c>
      <c r="F31" s="693">
        <f>F22+F23+F24+F26+F27+F28+F30</f>
        <v>0.8479476584022039</v>
      </c>
      <c r="G31" s="459"/>
      <c r="H31" s="256"/>
      <c r="I31" s="229"/>
      <c r="J31" s="229"/>
      <c r="K31" s="228"/>
      <c r="L31" s="231" t="e">
        <f>L23+L27+#REF!+#REF!</f>
        <v>#REF!</v>
      </c>
      <c r="M31" s="230"/>
      <c r="N31"/>
    </row>
    <row r="32" spans="1:13" s="31" customFormat="1" ht="15" customHeight="1" thickBot="1">
      <c r="A32" s="418" t="s">
        <v>409</v>
      </c>
      <c r="B32" s="437"/>
      <c r="C32" s="448" t="s">
        <v>337</v>
      </c>
      <c r="D32" s="218" t="s">
        <v>337</v>
      </c>
      <c r="E32" s="218" t="s">
        <v>337</v>
      </c>
      <c r="F32" s="694">
        <v>1.12</v>
      </c>
      <c r="G32" s="673"/>
      <c r="H32" s="241"/>
      <c r="I32" s="32"/>
      <c r="J32" s="32"/>
      <c r="K32" s="83"/>
      <c r="L32" s="100"/>
      <c r="M32" s="307"/>
    </row>
    <row r="33" spans="1:14" s="5" customFormat="1" ht="18.75" customHeight="1" thickBot="1">
      <c r="A33" s="351" t="s">
        <v>458</v>
      </c>
      <c r="B33" s="431"/>
      <c r="C33" s="451" t="s">
        <v>337</v>
      </c>
      <c r="D33" s="423" t="s">
        <v>337</v>
      </c>
      <c r="E33" s="423" t="s">
        <v>337</v>
      </c>
      <c r="F33" s="526">
        <f>F31*F32</f>
        <v>0.9497013774104685</v>
      </c>
      <c r="G33" s="356"/>
      <c r="H33" s="257"/>
      <c r="I33" s="184"/>
      <c r="J33" s="184"/>
      <c r="K33" s="186"/>
      <c r="L33" s="185"/>
      <c r="M33" s="187"/>
      <c r="N33"/>
    </row>
    <row r="34" spans="1:14" ht="24.75" customHeight="1">
      <c r="A34" s="298" t="s">
        <v>416</v>
      </c>
      <c r="B34" s="110" t="s">
        <v>340</v>
      </c>
      <c r="C34" s="452">
        <v>6000</v>
      </c>
      <c r="D34" s="218" t="s">
        <v>337</v>
      </c>
      <c r="E34" s="218" t="s">
        <v>337</v>
      </c>
      <c r="F34" s="648">
        <f>F33</f>
        <v>0.9497013774104685</v>
      </c>
      <c r="G34" s="674">
        <f>C34*F34*12</f>
        <v>68378.49917355373</v>
      </c>
      <c r="H34" s="250">
        <f>C34</f>
        <v>6000</v>
      </c>
      <c r="I34" s="7"/>
      <c r="J34" s="7"/>
      <c r="K34" s="81"/>
      <c r="L34" s="103"/>
      <c r="M34" s="107"/>
      <c r="N34" s="350"/>
    </row>
    <row r="35" spans="1:13" ht="15" customHeight="1" thickBot="1">
      <c r="A35" s="91" t="s">
        <v>537</v>
      </c>
      <c r="B35" s="744"/>
      <c r="C35" s="746">
        <v>2300</v>
      </c>
      <c r="D35" s="218" t="s">
        <v>337</v>
      </c>
      <c r="E35" s="218" t="s">
        <v>337</v>
      </c>
      <c r="F35" s="648">
        <f>F33</f>
        <v>0.9497013774104685</v>
      </c>
      <c r="G35" s="674">
        <f>C35*F35*12</f>
        <v>26211.75801652893</v>
      </c>
      <c r="H35" s="258">
        <v>0.5</v>
      </c>
      <c r="I35" s="12"/>
      <c r="J35" s="12"/>
      <c r="K35" s="93"/>
      <c r="L35" s="104"/>
      <c r="M35" s="174"/>
    </row>
    <row r="36" spans="1:14" s="5" customFormat="1" ht="15" customHeight="1" thickBot="1">
      <c r="A36" s="354" t="s">
        <v>10</v>
      </c>
      <c r="B36" s="438" t="s">
        <v>464</v>
      </c>
      <c r="C36" s="449" t="s">
        <v>337</v>
      </c>
      <c r="D36" s="447" t="s">
        <v>337</v>
      </c>
      <c r="E36" s="447" t="s">
        <v>337</v>
      </c>
      <c r="F36" s="447" t="s">
        <v>337</v>
      </c>
      <c r="G36" s="460">
        <f>G34+G35</f>
        <v>94590.25719008266</v>
      </c>
      <c r="H36" s="259"/>
      <c r="I36" s="114"/>
      <c r="J36" s="114"/>
      <c r="K36" s="172"/>
      <c r="L36" s="176"/>
      <c r="M36" s="177"/>
      <c r="N36"/>
    </row>
    <row r="37" spans="1:13" s="22" customFormat="1" ht="15" customHeight="1" thickBot="1">
      <c r="A37" s="418" t="s">
        <v>13</v>
      </c>
      <c r="B37" s="437" t="s">
        <v>195</v>
      </c>
      <c r="C37" s="453">
        <v>0.302</v>
      </c>
      <c r="D37" s="218" t="s">
        <v>337</v>
      </c>
      <c r="E37" s="218" t="s">
        <v>337</v>
      </c>
      <c r="F37" s="218" t="s">
        <v>337</v>
      </c>
      <c r="G37" s="675">
        <f>G36*C37</f>
        <v>28566.25767140496</v>
      </c>
      <c r="H37" s="318">
        <v>0.262</v>
      </c>
      <c r="I37" s="316"/>
      <c r="J37" s="316"/>
      <c r="K37" s="317"/>
      <c r="L37" s="319"/>
      <c r="M37" s="320"/>
    </row>
    <row r="38" spans="1:13" s="22" customFormat="1" ht="15" customHeight="1" thickBot="1">
      <c r="A38" s="418" t="s">
        <v>341</v>
      </c>
      <c r="B38" s="411" t="s">
        <v>346</v>
      </c>
      <c r="C38" s="691">
        <f>'спец инв'!H22</f>
        <v>678</v>
      </c>
      <c r="D38" s="422" t="s">
        <v>337</v>
      </c>
      <c r="E38" s="422" t="s">
        <v>337</v>
      </c>
      <c r="F38" s="649">
        <f>F33</f>
        <v>0.9497013774104685</v>
      </c>
      <c r="G38" s="676">
        <f>C38*F38</f>
        <v>643.8975338842976</v>
      </c>
      <c r="H38" s="311"/>
      <c r="I38" s="310"/>
      <c r="J38" s="310"/>
      <c r="K38" s="310"/>
      <c r="L38" s="308"/>
      <c r="M38" s="312"/>
    </row>
    <row r="39" spans="1:13" s="22" customFormat="1" ht="15" customHeight="1" thickBot="1">
      <c r="A39" s="418" t="s">
        <v>342</v>
      </c>
      <c r="B39" s="411" t="s">
        <v>346</v>
      </c>
      <c r="C39" s="691">
        <f>'спец инв'!H69</f>
        <v>2243.944444444445</v>
      </c>
      <c r="D39" s="422" t="s">
        <v>337</v>
      </c>
      <c r="E39" s="422" t="s">
        <v>337</v>
      </c>
      <c r="F39" s="649">
        <f>F38</f>
        <v>0.9497013774104685</v>
      </c>
      <c r="G39" s="676">
        <f>C39*F39</f>
        <v>2131.077129721458</v>
      </c>
      <c r="H39" s="311"/>
      <c r="I39" s="313"/>
      <c r="J39" s="310"/>
      <c r="K39" s="310"/>
      <c r="L39" s="308"/>
      <c r="M39" s="312"/>
    </row>
    <row r="40" spans="1:13" s="22" customFormat="1" ht="15" customHeight="1" thickBot="1">
      <c r="A40" s="418" t="s">
        <v>343</v>
      </c>
      <c r="B40" s="411" t="s">
        <v>346</v>
      </c>
      <c r="C40" s="691">
        <f>'спец инв'!H56</f>
        <v>1578.270833333333</v>
      </c>
      <c r="D40" s="422" t="s">
        <v>337</v>
      </c>
      <c r="E40" s="422" t="s">
        <v>337</v>
      </c>
      <c r="F40" s="649">
        <f>F39</f>
        <v>0.9497013774104685</v>
      </c>
      <c r="G40" s="676">
        <f>C40*F40</f>
        <v>1498.8859843434343</v>
      </c>
      <c r="H40" s="311"/>
      <c r="I40" s="313"/>
      <c r="J40" s="310"/>
      <c r="K40" s="310"/>
      <c r="L40" s="308"/>
      <c r="M40" s="312"/>
    </row>
    <row r="41" spans="1:13" s="22" customFormat="1" ht="15" customHeight="1" thickBot="1">
      <c r="A41" s="418" t="s">
        <v>344</v>
      </c>
      <c r="B41" s="411" t="s">
        <v>439</v>
      </c>
      <c r="C41" s="454" t="s">
        <v>337</v>
      </c>
      <c r="D41" s="422" t="s">
        <v>337</v>
      </c>
      <c r="E41" s="422" t="s">
        <v>337</v>
      </c>
      <c r="F41" s="422" t="s">
        <v>337</v>
      </c>
      <c r="G41" s="676">
        <f>'спец инв'!K71</f>
        <v>934.5</v>
      </c>
      <c r="H41" s="315"/>
      <c r="I41" s="309"/>
      <c r="J41" s="310"/>
      <c r="K41" s="310"/>
      <c r="L41" s="314"/>
      <c r="M41" s="312"/>
    </row>
    <row r="42" spans="1:14" s="5" customFormat="1" ht="30.75" customHeight="1" thickBot="1">
      <c r="A42" s="299" t="s">
        <v>419</v>
      </c>
      <c r="B42" s="434"/>
      <c r="C42" s="450" t="s">
        <v>337</v>
      </c>
      <c r="D42" s="456" t="s">
        <v>337</v>
      </c>
      <c r="E42" s="456" t="s">
        <v>337</v>
      </c>
      <c r="F42" s="456" t="s">
        <v>337</v>
      </c>
      <c r="G42" s="677">
        <f>G36+G37+G38+G39+G40+G41</f>
        <v>128364.87550943681</v>
      </c>
      <c r="H42" s="259"/>
      <c r="I42" s="114"/>
      <c r="J42" s="114"/>
      <c r="K42" s="172" t="e">
        <f>L42/12</f>
        <v>#REF!</v>
      </c>
      <c r="L42" s="173" t="e">
        <f>#REF!+L31</f>
        <v>#REF!</v>
      </c>
      <c r="M42" s="107" t="e">
        <f>G42-L42</f>
        <v>#REF!</v>
      </c>
      <c r="N42"/>
    </row>
    <row r="43" spans="1:14" s="2" customFormat="1" ht="15" customHeight="1" hidden="1">
      <c r="A43" s="175" t="s">
        <v>11</v>
      </c>
      <c r="B43" s="289"/>
      <c r="C43" s="452"/>
      <c r="D43" s="463"/>
      <c r="E43" s="463"/>
      <c r="F43" s="281"/>
      <c r="G43" s="671"/>
      <c r="H43" s="246"/>
      <c r="I43" s="18"/>
      <c r="J43" s="18"/>
      <c r="K43" s="18"/>
      <c r="L43" s="94"/>
      <c r="M43" s="110"/>
      <c r="N43"/>
    </row>
    <row r="44" spans="1:14" s="1" customFormat="1" ht="27.75" customHeight="1" hidden="1">
      <c r="A44" s="87" t="s">
        <v>420</v>
      </c>
      <c r="B44" s="17"/>
      <c r="C44" s="422" t="s">
        <v>337</v>
      </c>
      <c r="D44" s="218">
        <f>'Исход дан'!D12</f>
        <v>91</v>
      </c>
      <c r="E44" s="218"/>
      <c r="F44" s="649">
        <v>0</v>
      </c>
      <c r="G44" s="665"/>
      <c r="H44" s="250"/>
      <c r="I44" s="7">
        <v>0</v>
      </c>
      <c r="J44" s="7">
        <v>0.23</v>
      </c>
      <c r="K44" s="92">
        <f>I44*J44</f>
        <v>0</v>
      </c>
      <c r="L44" s="13"/>
      <c r="M44" s="17"/>
      <c r="N44"/>
    </row>
    <row r="45" spans="1:14" s="1" customFormat="1" ht="15" customHeight="1" hidden="1">
      <c r="A45" s="88" t="s">
        <v>410</v>
      </c>
      <c r="B45" s="17"/>
      <c r="C45" s="422" t="s">
        <v>337</v>
      </c>
      <c r="D45" s="422" t="s">
        <v>337</v>
      </c>
      <c r="E45" s="422" t="s">
        <v>337</v>
      </c>
      <c r="F45" s="695">
        <v>1.12</v>
      </c>
      <c r="G45" s="665"/>
      <c r="H45" s="250"/>
      <c r="I45" s="7"/>
      <c r="J45" s="7"/>
      <c r="K45" s="84">
        <f>10/249*K44</f>
        <v>0</v>
      </c>
      <c r="L45" s="13"/>
      <c r="M45" s="17"/>
      <c r="N45"/>
    </row>
    <row r="46" spans="1:14" s="74" customFormat="1" ht="18.75" customHeight="1" hidden="1">
      <c r="A46" s="358" t="s">
        <v>463</v>
      </c>
      <c r="B46" s="439"/>
      <c r="C46" s="696"/>
      <c r="D46" s="697"/>
      <c r="E46" s="697"/>
      <c r="F46" s="698">
        <f>F44*F45</f>
        <v>0</v>
      </c>
      <c r="G46" s="678"/>
      <c r="H46" s="334"/>
      <c r="I46" s="333"/>
      <c r="J46" s="333"/>
      <c r="K46" s="335">
        <f>SUM(K44:K45)</f>
        <v>0</v>
      </c>
      <c r="L46" s="336"/>
      <c r="M46" s="337"/>
      <c r="N46" s="249"/>
    </row>
    <row r="47" spans="1:14" s="1" customFormat="1" ht="25.5" customHeight="1" hidden="1">
      <c r="A47" s="87" t="s">
        <v>416</v>
      </c>
      <c r="B47" s="17" t="s">
        <v>340</v>
      </c>
      <c r="C47" s="448"/>
      <c r="D47" s="218" t="s">
        <v>337</v>
      </c>
      <c r="E47" s="218" t="s">
        <v>337</v>
      </c>
      <c r="F47" s="648">
        <f>F46</f>
        <v>0</v>
      </c>
      <c r="G47" s="668">
        <f>C47*F47*12</f>
        <v>0</v>
      </c>
      <c r="H47" s="250">
        <f>C47</f>
        <v>0</v>
      </c>
      <c r="I47" s="7">
        <v>0</v>
      </c>
      <c r="J47" s="7">
        <v>675.64</v>
      </c>
      <c r="K47" s="81">
        <f>I47*J47</f>
        <v>0</v>
      </c>
      <c r="L47" s="97">
        <f>K47*12</f>
        <v>0</v>
      </c>
      <c r="M47" s="107">
        <f aca="true" t="shared" si="1" ref="M47:M60">G47-L47</f>
        <v>0</v>
      </c>
      <c r="N47"/>
    </row>
    <row r="48" spans="1:14" s="1" customFormat="1" ht="15" customHeight="1" hidden="1">
      <c r="A48" s="87" t="s">
        <v>5</v>
      </c>
      <c r="B48" s="17" t="s">
        <v>195</v>
      </c>
      <c r="C48" s="689"/>
      <c r="D48" s="218" t="s">
        <v>337</v>
      </c>
      <c r="E48" s="218" t="s">
        <v>337</v>
      </c>
      <c r="F48" s="218" t="s">
        <v>337</v>
      </c>
      <c r="G48" s="668">
        <f>G47*C48</f>
        <v>0</v>
      </c>
      <c r="H48" s="251">
        <f>C48</f>
        <v>0</v>
      </c>
      <c r="I48" s="7">
        <v>0</v>
      </c>
      <c r="J48" s="7">
        <v>270.26</v>
      </c>
      <c r="K48" s="81">
        <f>I48*J48</f>
        <v>0</v>
      </c>
      <c r="L48" s="97">
        <f>K48*12</f>
        <v>0</v>
      </c>
      <c r="M48" s="107">
        <f t="shared" si="1"/>
        <v>0</v>
      </c>
      <c r="N48"/>
    </row>
    <row r="49" spans="1:14" s="4" customFormat="1" ht="15" customHeight="1" hidden="1">
      <c r="A49" s="354" t="s">
        <v>10</v>
      </c>
      <c r="B49" s="438" t="s">
        <v>464</v>
      </c>
      <c r="C49" s="449" t="s">
        <v>337</v>
      </c>
      <c r="D49" s="447" t="s">
        <v>337</v>
      </c>
      <c r="E49" s="447" t="s">
        <v>337</v>
      </c>
      <c r="F49" s="447" t="s">
        <v>337</v>
      </c>
      <c r="G49" s="460">
        <f>G47+G48</f>
        <v>0</v>
      </c>
      <c r="H49" s="233"/>
      <c r="I49" s="9"/>
      <c r="J49" s="9"/>
      <c r="K49" s="86">
        <f>SUM(K47:K48)</f>
        <v>0</v>
      </c>
      <c r="L49" s="98">
        <f>SUM(L47:L48)</f>
        <v>0</v>
      </c>
      <c r="M49" s="107">
        <f t="shared" si="1"/>
        <v>0</v>
      </c>
      <c r="N49"/>
    </row>
    <row r="50" spans="1:14" s="1" customFormat="1" ht="15" customHeight="1" hidden="1">
      <c r="A50" s="87" t="s">
        <v>12</v>
      </c>
      <c r="B50" s="17" t="s">
        <v>195</v>
      </c>
      <c r="C50" s="690"/>
      <c r="D50" s="218" t="s">
        <v>337</v>
      </c>
      <c r="E50" s="218" t="s">
        <v>337</v>
      </c>
      <c r="F50" s="218" t="s">
        <v>337</v>
      </c>
      <c r="G50" s="668">
        <f>G49*C50</f>
        <v>0</v>
      </c>
      <c r="H50" s="252">
        <v>0.262</v>
      </c>
      <c r="I50" s="7">
        <v>0</v>
      </c>
      <c r="J50" s="7">
        <v>299.64</v>
      </c>
      <c r="K50" s="81">
        <f>I50*J50</f>
        <v>0</v>
      </c>
      <c r="L50" s="99">
        <f>K50*12</f>
        <v>0</v>
      </c>
      <c r="M50" s="107">
        <f t="shared" si="1"/>
        <v>0</v>
      </c>
      <c r="N50"/>
    </row>
    <row r="51" spans="1:14" s="33" customFormat="1" ht="15" customHeight="1" hidden="1">
      <c r="A51" s="89" t="s">
        <v>6</v>
      </c>
      <c r="B51" s="411" t="s">
        <v>346</v>
      </c>
      <c r="C51" s="691">
        <f>'спец инв'!H30</f>
        <v>1098</v>
      </c>
      <c r="D51" s="424" t="s">
        <v>337</v>
      </c>
      <c r="E51" s="424" t="s">
        <v>337</v>
      </c>
      <c r="F51" s="704">
        <f>F46</f>
        <v>0</v>
      </c>
      <c r="G51" s="461">
        <f>C51*F51</f>
        <v>0</v>
      </c>
      <c r="H51" s="260"/>
      <c r="I51" s="7">
        <v>0</v>
      </c>
      <c r="J51" s="35">
        <v>8.91</v>
      </c>
      <c r="K51" s="81">
        <f>I51*J51</f>
        <v>0</v>
      </c>
      <c r="L51" s="99">
        <f>K51*12</f>
        <v>0</v>
      </c>
      <c r="M51" s="107">
        <f t="shared" si="1"/>
        <v>0</v>
      </c>
      <c r="N51"/>
    </row>
    <row r="52" spans="1:14" s="33" customFormat="1" ht="15" customHeight="1" hidden="1">
      <c r="A52" s="89" t="s">
        <v>25</v>
      </c>
      <c r="B52" s="411" t="s">
        <v>346</v>
      </c>
      <c r="C52" s="699">
        <f>'спец инв'!H79</f>
        <v>3470.666666666667</v>
      </c>
      <c r="D52" s="424" t="s">
        <v>337</v>
      </c>
      <c r="E52" s="424" t="s">
        <v>337</v>
      </c>
      <c r="F52" s="704">
        <f>F46</f>
        <v>0</v>
      </c>
      <c r="G52" s="461">
        <f>C52*F52</f>
        <v>0</v>
      </c>
      <c r="H52" s="260"/>
      <c r="I52" s="7">
        <v>0</v>
      </c>
      <c r="J52" s="35">
        <v>116.64</v>
      </c>
      <c r="K52" s="81">
        <f>I52*J52</f>
        <v>0</v>
      </c>
      <c r="L52" s="99">
        <f>K52*12</f>
        <v>0</v>
      </c>
      <c r="M52" s="107">
        <f t="shared" si="1"/>
        <v>0</v>
      </c>
      <c r="N52"/>
    </row>
    <row r="53" spans="1:14" s="33" customFormat="1" ht="15" customHeight="1" hidden="1" thickBot="1">
      <c r="A53" s="355" t="s">
        <v>57</v>
      </c>
      <c r="B53" s="440"/>
      <c r="C53" s="700" t="s">
        <v>337</v>
      </c>
      <c r="D53" s="424" t="s">
        <v>337</v>
      </c>
      <c r="E53" s="424" t="s">
        <v>337</v>
      </c>
      <c r="F53" s="218" t="s">
        <v>337</v>
      </c>
      <c r="G53" s="669">
        <f>'спец инв'!K95</f>
        <v>0</v>
      </c>
      <c r="H53" s="260"/>
      <c r="I53" s="7">
        <v>0</v>
      </c>
      <c r="J53" s="35"/>
      <c r="K53" s="81">
        <f>I53*J53</f>
        <v>0</v>
      </c>
      <c r="L53" s="99">
        <f>K53*12</f>
        <v>0</v>
      </c>
      <c r="M53" s="107">
        <f t="shared" si="1"/>
        <v>0</v>
      </c>
      <c r="N53"/>
    </row>
    <row r="54" spans="1:14" s="5" customFormat="1" ht="27.75" customHeight="1" hidden="1" thickBot="1">
      <c r="A54" s="299" t="s">
        <v>417</v>
      </c>
      <c r="B54" s="434"/>
      <c r="C54" s="450" t="s">
        <v>337</v>
      </c>
      <c r="D54" s="456" t="s">
        <v>337</v>
      </c>
      <c r="E54" s="456" t="s">
        <v>337</v>
      </c>
      <c r="F54" s="456" t="s">
        <v>337</v>
      </c>
      <c r="G54" s="679">
        <f>G49+G50+G51+G52+G53</f>
        <v>0</v>
      </c>
      <c r="H54" s="262"/>
      <c r="I54" s="79"/>
      <c r="J54" s="79">
        <f>SUM(J47:J53)</f>
        <v>1371.0900000000001</v>
      </c>
      <c r="K54" s="242">
        <f>SUM(K49:K53)</f>
        <v>0</v>
      </c>
      <c r="L54" s="243">
        <f>SUM(L49:L53)</f>
        <v>0</v>
      </c>
      <c r="M54" s="177">
        <f t="shared" si="1"/>
        <v>0</v>
      </c>
      <c r="N54"/>
    </row>
    <row r="55" spans="1:14" s="21" customFormat="1" ht="15" customHeight="1" thickBot="1">
      <c r="A55" s="445" t="str">
        <f>'спец инв'!A96</f>
        <v>Мыло хозяйственное</v>
      </c>
      <c r="B55" s="441"/>
      <c r="C55" s="700" t="s">
        <v>337</v>
      </c>
      <c r="D55" s="424" t="s">
        <v>337</v>
      </c>
      <c r="E55" s="424" t="s">
        <v>337</v>
      </c>
      <c r="F55" s="218" t="s">
        <v>337</v>
      </c>
      <c r="G55" s="680">
        <f>'спец инв'!K96</f>
        <v>147.78045569620255</v>
      </c>
      <c r="H55" s="340"/>
      <c r="I55" s="338"/>
      <c r="J55" s="338"/>
      <c r="K55" s="339"/>
      <c r="L55" s="341"/>
      <c r="M55" s="342"/>
      <c r="N55" s="343"/>
    </row>
    <row r="56" spans="1:14" s="21" customFormat="1" ht="15" customHeight="1" thickBot="1">
      <c r="A56" s="446" t="str">
        <f>'спец инв'!A97</f>
        <v>Эл/лампочки</v>
      </c>
      <c r="B56" s="442"/>
      <c r="C56" s="700" t="s">
        <v>337</v>
      </c>
      <c r="D56" s="424" t="s">
        <v>337</v>
      </c>
      <c r="E56" s="424" t="s">
        <v>337</v>
      </c>
      <c r="F56" s="245" t="s">
        <v>337</v>
      </c>
      <c r="G56" s="669">
        <f>'спец инв'!K97</f>
        <v>4860</v>
      </c>
      <c r="H56" s="340"/>
      <c r="I56" s="338"/>
      <c r="J56" s="338"/>
      <c r="K56" s="339"/>
      <c r="L56" s="341"/>
      <c r="M56" s="342"/>
      <c r="N56" s="343"/>
    </row>
    <row r="57" spans="1:14" s="21" customFormat="1" ht="15" customHeight="1" thickBot="1">
      <c r="A57" s="419" t="str">
        <f>'спец инв'!A98</f>
        <v>Лампа над подъездом</v>
      </c>
      <c r="B57" s="443"/>
      <c r="C57" s="701" t="s">
        <v>337</v>
      </c>
      <c r="D57" s="429" t="s">
        <v>337</v>
      </c>
      <c r="E57" s="429" t="s">
        <v>337</v>
      </c>
      <c r="F57" s="218" t="s">
        <v>337</v>
      </c>
      <c r="G57" s="489">
        <f>'спец инв'!K98</f>
        <v>108</v>
      </c>
      <c r="H57" s="340"/>
      <c r="I57" s="338"/>
      <c r="J57" s="338"/>
      <c r="K57" s="339"/>
      <c r="L57" s="341"/>
      <c r="M57" s="342"/>
      <c r="N57" s="343"/>
    </row>
    <row r="58" spans="1:14" s="21" customFormat="1" ht="15" customHeight="1" thickBot="1">
      <c r="A58" s="419"/>
      <c r="B58" s="443"/>
      <c r="C58" s="701"/>
      <c r="D58" s="429"/>
      <c r="E58" s="429"/>
      <c r="F58" s="218"/>
      <c r="G58" s="489"/>
      <c r="H58" s="340"/>
      <c r="I58" s="338"/>
      <c r="J58" s="338"/>
      <c r="K58" s="339"/>
      <c r="L58" s="341"/>
      <c r="M58" s="342"/>
      <c r="N58" s="343"/>
    </row>
    <row r="59" spans="1:14" s="21" customFormat="1" ht="29.25" customHeight="1" thickBot="1">
      <c r="A59" s="428" t="s">
        <v>418</v>
      </c>
      <c r="B59" s="438" t="s">
        <v>464</v>
      </c>
      <c r="C59" s="455" t="s">
        <v>337</v>
      </c>
      <c r="D59" s="457" t="s">
        <v>337</v>
      </c>
      <c r="E59" s="457" t="s">
        <v>337</v>
      </c>
      <c r="F59" s="457" t="s">
        <v>337</v>
      </c>
      <c r="G59" s="681">
        <f>G55+G56+G57</f>
        <v>5115.780455696203</v>
      </c>
      <c r="H59" s="340"/>
      <c r="I59" s="338"/>
      <c r="J59" s="338"/>
      <c r="K59" s="339"/>
      <c r="L59" s="341"/>
      <c r="M59" s="342"/>
      <c r="N59" s="343"/>
    </row>
    <row r="60" spans="1:14" s="5" customFormat="1" ht="31.5" customHeight="1" thickBot="1">
      <c r="A60" s="353" t="s">
        <v>421</v>
      </c>
      <c r="B60" s="444"/>
      <c r="C60" s="702" t="s">
        <v>337</v>
      </c>
      <c r="D60" s="466" t="s">
        <v>337</v>
      </c>
      <c r="E60" s="466" t="s">
        <v>337</v>
      </c>
      <c r="F60" s="467" t="s">
        <v>337</v>
      </c>
      <c r="G60" s="682">
        <f>G19+G42+G54+G59</f>
        <v>243349.37281374063</v>
      </c>
      <c r="H60" s="263"/>
      <c r="I60" s="178"/>
      <c r="J60" s="178"/>
      <c r="K60" s="179" t="e">
        <f>L60/12</f>
        <v>#REF!</v>
      </c>
      <c r="L60" s="180" t="e">
        <f>L19+L42+L54</f>
        <v>#REF!</v>
      </c>
      <c r="M60" s="181" t="e">
        <f t="shared" si="1"/>
        <v>#REF!</v>
      </c>
      <c r="N60"/>
    </row>
    <row r="61" spans="1:14" s="90" customFormat="1" ht="30.75" customHeight="1" thickBot="1">
      <c r="A61" s="464" t="s">
        <v>61</v>
      </c>
      <c r="B61" s="465"/>
      <c r="C61" s="703" t="s">
        <v>337</v>
      </c>
      <c r="D61" s="468" t="s">
        <v>337</v>
      </c>
      <c r="E61" s="468" t="s">
        <v>337</v>
      </c>
      <c r="F61" s="469" t="s">
        <v>337</v>
      </c>
      <c r="G61" s="650">
        <f>G60/D7/12</f>
        <v>5.978089522305336</v>
      </c>
      <c r="H61" s="190"/>
      <c r="I61" s="123"/>
      <c r="J61" s="189"/>
      <c r="K61" s="188" t="e">
        <f>L60/I7/12</f>
        <v>#REF!</v>
      </c>
      <c r="L61" s="191"/>
      <c r="M61" s="213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9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F97" sqref="F97"/>
    </sheetView>
  </sheetViews>
  <sheetFormatPr defaultColWidth="9.00390625" defaultRowHeight="12.75"/>
  <cols>
    <col min="1" max="1" width="25.50390625" style="30" customWidth="1"/>
    <col min="2" max="2" width="16.00390625" style="153" customWidth="1"/>
    <col min="3" max="3" width="7.125" style="30" bestFit="1" customWidth="1"/>
    <col min="4" max="4" width="6.50390625" style="30" bestFit="1" customWidth="1"/>
    <col min="5" max="5" width="8.875" style="30" bestFit="1" customWidth="1"/>
    <col min="6" max="6" width="8.875" style="30" customWidth="1"/>
    <col min="7" max="7" width="8.625" style="30" bestFit="1" customWidth="1"/>
    <col min="8" max="8" width="11.50390625" style="30" customWidth="1"/>
    <col min="9" max="9" width="9.375" style="30" customWidth="1"/>
    <col min="10" max="10" width="10.00390625" style="30" bestFit="1" customWidth="1"/>
    <col min="11" max="11" width="12.00390625" style="30" customWidth="1"/>
    <col min="12" max="12" width="10.625" style="131" bestFit="1" customWidth="1"/>
    <col min="13" max="13" width="9.125" style="131" customWidth="1"/>
    <col min="14" max="14" width="9.125" style="132" customWidth="1"/>
    <col min="15" max="132" width="9.125" style="133" customWidth="1"/>
  </cols>
  <sheetData>
    <row r="1" spans="1:132" s="27" customFormat="1" ht="20.25" customHeight="1">
      <c r="A1" s="889" t="s">
        <v>46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128"/>
      <c r="M1" s="128"/>
      <c r="N1" s="129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</row>
    <row r="2" ht="13.5" thickBot="1">
      <c r="A2" s="128" t="s">
        <v>467</v>
      </c>
    </row>
    <row r="3" spans="1:132" s="2" customFormat="1" ht="84" customHeight="1">
      <c r="A3" s="890" t="s">
        <v>0</v>
      </c>
      <c r="B3" s="154" t="s">
        <v>113</v>
      </c>
      <c r="C3" s="885" t="s">
        <v>2</v>
      </c>
      <c r="D3" s="885"/>
      <c r="E3" s="885" t="s">
        <v>311</v>
      </c>
      <c r="F3" s="41" t="s">
        <v>422</v>
      </c>
      <c r="G3" s="124" t="s">
        <v>331</v>
      </c>
      <c r="H3" s="201" t="s">
        <v>330</v>
      </c>
      <c r="I3" s="887" t="s">
        <v>44</v>
      </c>
      <c r="J3" s="888"/>
      <c r="K3" s="201" t="s">
        <v>332</v>
      </c>
      <c r="L3" s="134"/>
      <c r="M3" s="134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</row>
    <row r="4" spans="1:132" s="2" customFormat="1" ht="53.25" thickBot="1">
      <c r="A4" s="891"/>
      <c r="B4" s="155"/>
      <c r="C4" s="503" t="s">
        <v>312</v>
      </c>
      <c r="D4" s="503" t="s">
        <v>14</v>
      </c>
      <c r="E4" s="886"/>
      <c r="F4" s="503" t="s">
        <v>430</v>
      </c>
      <c r="G4" s="504" t="s">
        <v>405</v>
      </c>
      <c r="H4" s="505" t="s">
        <v>431</v>
      </c>
      <c r="I4" s="506" t="s">
        <v>515</v>
      </c>
      <c r="J4" s="504" t="s">
        <v>432</v>
      </c>
      <c r="K4" s="505" t="s">
        <v>433</v>
      </c>
      <c r="L4" s="134"/>
      <c r="M4" s="134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</row>
    <row r="5" spans="1:132" s="28" customFormat="1" ht="14.25" customHeight="1" thickBot="1">
      <c r="A5" s="58">
        <v>1</v>
      </c>
      <c r="B5" s="521">
        <v>2</v>
      </c>
      <c r="C5" s="19">
        <v>3</v>
      </c>
      <c r="D5" s="19">
        <v>4</v>
      </c>
      <c r="E5" s="58">
        <v>5</v>
      </c>
      <c r="F5" s="19">
        <v>6</v>
      </c>
      <c r="G5" s="522">
        <v>7</v>
      </c>
      <c r="H5" s="202">
        <v>8</v>
      </c>
      <c r="I5" s="521">
        <v>9</v>
      </c>
      <c r="J5" s="522">
        <v>10</v>
      </c>
      <c r="K5" s="202">
        <v>11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</row>
    <row r="6" spans="1:132" s="28" customFormat="1" ht="14.25" customHeight="1">
      <c r="A6" s="520" t="s">
        <v>6</v>
      </c>
      <c r="B6" s="502"/>
      <c r="C6" s="14"/>
      <c r="D6" s="14"/>
      <c r="E6" s="14"/>
      <c r="F6" s="14"/>
      <c r="G6" s="283"/>
      <c r="H6" s="289"/>
      <c r="I6" s="282"/>
      <c r="J6" s="283"/>
      <c r="K6" s="289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</row>
    <row r="7" spans="1:132" s="5" customFormat="1" ht="18" customHeight="1">
      <c r="A7" s="214" t="s">
        <v>1</v>
      </c>
      <c r="B7" s="376"/>
      <c r="C7" s="11"/>
      <c r="D7" s="11"/>
      <c r="E7" s="11"/>
      <c r="F7" s="11"/>
      <c r="G7" s="193"/>
      <c r="H7" s="20"/>
      <c r="I7" s="272">
        <f>'сан содерж'!F11</f>
        <v>0.8210025316455698</v>
      </c>
      <c r="J7" s="384"/>
      <c r="K7" s="20"/>
      <c r="L7" s="116"/>
      <c r="M7" s="116"/>
      <c r="N7" s="116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</row>
    <row r="8" spans="1:11" ht="12.75">
      <c r="A8" s="44"/>
      <c r="B8" s="156"/>
      <c r="C8" s="35"/>
      <c r="D8" s="35"/>
      <c r="E8" s="35"/>
      <c r="F8" s="35"/>
      <c r="G8" s="101"/>
      <c r="H8" s="108"/>
      <c r="I8" s="363"/>
      <c r="J8" s="385"/>
      <c r="K8" s="108"/>
    </row>
    <row r="9" spans="1:11" ht="12.75">
      <c r="A9" s="44" t="s">
        <v>22</v>
      </c>
      <c r="B9" s="156"/>
      <c r="C9" s="35">
        <v>12</v>
      </c>
      <c r="D9" s="35">
        <v>1</v>
      </c>
      <c r="E9" s="35">
        <v>12</v>
      </c>
      <c r="F9" s="35">
        <f>D9/C9*E9</f>
        <v>1</v>
      </c>
      <c r="G9" s="101">
        <v>300</v>
      </c>
      <c r="H9" s="203">
        <f>F9*G9</f>
        <v>300</v>
      </c>
      <c r="I9" s="273">
        <f>I7</f>
        <v>0.8210025316455698</v>
      </c>
      <c r="J9" s="387">
        <f>F9*I9</f>
        <v>0.8210025316455698</v>
      </c>
      <c r="K9" s="203">
        <f>H9*I9</f>
        <v>246.30075949367094</v>
      </c>
    </row>
    <row r="10" spans="1:11" ht="12.75">
      <c r="A10" s="44" t="s">
        <v>17</v>
      </c>
      <c r="B10" s="156"/>
      <c r="C10" s="35">
        <v>12</v>
      </c>
      <c r="D10" s="35">
        <v>6</v>
      </c>
      <c r="E10" s="35">
        <v>12</v>
      </c>
      <c r="F10" s="35">
        <f>D10/C10*E10</f>
        <v>6</v>
      </c>
      <c r="G10" s="101">
        <v>15</v>
      </c>
      <c r="H10" s="203">
        <f>F10*G10</f>
        <v>90</v>
      </c>
      <c r="I10" s="273">
        <f>I7</f>
        <v>0.8210025316455698</v>
      </c>
      <c r="J10" s="387">
        <f>F10*I10</f>
        <v>4.926015189873419</v>
      </c>
      <c r="K10" s="203">
        <f>H10*I10</f>
        <v>73.89022784810128</v>
      </c>
    </row>
    <row r="11" spans="1:11" ht="12.75">
      <c r="A11" s="44" t="s">
        <v>15</v>
      </c>
      <c r="B11" s="156"/>
      <c r="C11" s="35">
        <v>12</v>
      </c>
      <c r="D11" s="35">
        <v>1</v>
      </c>
      <c r="E11" s="35">
        <v>12</v>
      </c>
      <c r="F11" s="35">
        <f>D11/C11*E11</f>
        <v>1</v>
      </c>
      <c r="G11" s="101">
        <v>200</v>
      </c>
      <c r="H11" s="203">
        <f>F11*G11</f>
        <v>200</v>
      </c>
      <c r="I11" s="273">
        <f>I7</f>
        <v>0.8210025316455698</v>
      </c>
      <c r="J11" s="387">
        <f>F11*I11</f>
        <v>0.8210025316455698</v>
      </c>
      <c r="K11" s="203">
        <f>H11*I11</f>
        <v>164.20050632911395</v>
      </c>
    </row>
    <row r="12" spans="1:11" ht="13.5" thickBot="1">
      <c r="A12" s="53" t="s">
        <v>16</v>
      </c>
      <c r="B12" s="157"/>
      <c r="C12" s="37">
        <v>12</v>
      </c>
      <c r="D12" s="37">
        <v>4</v>
      </c>
      <c r="E12" s="37">
        <v>12</v>
      </c>
      <c r="F12" s="37">
        <f>D12/C12*E12</f>
        <v>4</v>
      </c>
      <c r="G12" s="102">
        <v>23</v>
      </c>
      <c r="H12" s="203">
        <f>F12*G12</f>
        <v>92</v>
      </c>
      <c r="I12" s="273">
        <f>I7</f>
        <v>0.8210025316455698</v>
      </c>
      <c r="J12" s="387">
        <f>F12*I12</f>
        <v>3.284010126582279</v>
      </c>
      <c r="K12" s="203">
        <f>H12*I12</f>
        <v>75.53223291139243</v>
      </c>
    </row>
    <row r="13" spans="1:132" s="5" customFormat="1" ht="18" customHeight="1" thickBot="1">
      <c r="A13" s="49" t="s">
        <v>3</v>
      </c>
      <c r="B13" s="161"/>
      <c r="C13" s="50"/>
      <c r="D13" s="50"/>
      <c r="E13" s="50"/>
      <c r="F13" s="50"/>
      <c r="G13" s="192"/>
      <c r="H13" s="204">
        <f>SUM(H9:H12)</f>
        <v>682</v>
      </c>
      <c r="I13" s="268"/>
      <c r="J13" s="192"/>
      <c r="K13" s="204">
        <f>SUM(K9:K12)</f>
        <v>559.9237265822785</v>
      </c>
      <c r="L13" s="116"/>
      <c r="M13" s="116"/>
      <c r="N13" s="116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</row>
    <row r="14" spans="1:11" ht="12.75">
      <c r="A14" s="51"/>
      <c r="B14" s="158"/>
      <c r="C14" s="52"/>
      <c r="D14" s="52"/>
      <c r="E14" s="52"/>
      <c r="F14" s="54"/>
      <c r="G14" s="126"/>
      <c r="H14" s="205"/>
      <c r="I14" s="269"/>
      <c r="J14" s="386"/>
      <c r="K14" s="205"/>
    </row>
    <row r="15" spans="1:132" s="5" customFormat="1" ht="18" customHeight="1">
      <c r="A15" s="60" t="s">
        <v>18</v>
      </c>
      <c r="B15" s="162"/>
      <c r="C15" s="11"/>
      <c r="D15" s="11"/>
      <c r="E15" s="35"/>
      <c r="F15" s="35"/>
      <c r="G15" s="193"/>
      <c r="H15" s="108"/>
      <c r="I15" s="272">
        <f>'сан содерж'!F33</f>
        <v>0.9497013774104685</v>
      </c>
      <c r="J15" s="384"/>
      <c r="K15" s="108"/>
      <c r="L15" s="116"/>
      <c r="M15" s="116"/>
      <c r="N15" s="116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</row>
    <row r="16" spans="1:11" ht="12.75">
      <c r="A16" s="44"/>
      <c r="B16" s="156"/>
      <c r="C16" s="35"/>
      <c r="D16" s="35"/>
      <c r="E16" s="35"/>
      <c r="F16" s="35"/>
      <c r="G16" s="101"/>
      <c r="H16" s="108"/>
      <c r="I16" s="363"/>
      <c r="J16" s="385"/>
      <c r="K16" s="108"/>
    </row>
    <row r="17" spans="1:11" ht="12.75">
      <c r="A17" s="44" t="s">
        <v>404</v>
      </c>
      <c r="B17" s="156"/>
      <c r="C17" s="35">
        <v>12</v>
      </c>
      <c r="D17" s="35">
        <v>1</v>
      </c>
      <c r="E17" s="35">
        <v>12</v>
      </c>
      <c r="F17" s="35">
        <f>D17/C17*E17</f>
        <v>1</v>
      </c>
      <c r="G17" s="101">
        <v>400</v>
      </c>
      <c r="H17" s="203">
        <f>F17*G17</f>
        <v>400</v>
      </c>
      <c r="I17" s="273">
        <f>I15</f>
        <v>0.9497013774104685</v>
      </c>
      <c r="J17" s="387">
        <f>F17*I17</f>
        <v>0.9497013774104685</v>
      </c>
      <c r="K17" s="203">
        <f>H17*I17</f>
        <v>379.88055096418736</v>
      </c>
    </row>
    <row r="18" spans="1:11" ht="12.75">
      <c r="A18" s="44" t="s">
        <v>19</v>
      </c>
      <c r="B18" s="156"/>
      <c r="C18" s="35">
        <v>12</v>
      </c>
      <c r="D18" s="35">
        <v>1</v>
      </c>
      <c r="E18" s="35">
        <v>12</v>
      </c>
      <c r="F18" s="35">
        <f>D18/C18*E18</f>
        <v>1</v>
      </c>
      <c r="G18" s="101">
        <v>0</v>
      </c>
      <c r="H18" s="203">
        <f>F18*G18</f>
        <v>0</v>
      </c>
      <c r="I18" s="273">
        <f>I15</f>
        <v>0.9497013774104685</v>
      </c>
      <c r="J18" s="387">
        <f>F18*I18</f>
        <v>0.9497013774104685</v>
      </c>
      <c r="K18" s="203">
        <f>H18*I18</f>
        <v>0</v>
      </c>
    </row>
    <row r="19" spans="1:11" ht="12.75">
      <c r="A19" s="44" t="s">
        <v>20</v>
      </c>
      <c r="B19" s="156"/>
      <c r="C19" s="35">
        <v>12</v>
      </c>
      <c r="D19" s="35">
        <v>6</v>
      </c>
      <c r="E19" s="35">
        <v>12</v>
      </c>
      <c r="F19" s="35">
        <f>D19/C19*E19</f>
        <v>6</v>
      </c>
      <c r="G19" s="101">
        <v>13</v>
      </c>
      <c r="H19" s="203">
        <f>F19*G19</f>
        <v>78</v>
      </c>
      <c r="I19" s="273">
        <f>I15</f>
        <v>0.9497013774104685</v>
      </c>
      <c r="J19" s="387">
        <f>F19*I19</f>
        <v>5.698208264462811</v>
      </c>
      <c r="K19" s="203">
        <f>H19*I19</f>
        <v>74.07670743801654</v>
      </c>
    </row>
    <row r="20" spans="1:11" ht="12.75">
      <c r="A20" s="44" t="s">
        <v>21</v>
      </c>
      <c r="B20" s="156"/>
      <c r="C20" s="35">
        <v>24</v>
      </c>
      <c r="D20" s="35">
        <v>1</v>
      </c>
      <c r="E20" s="35">
        <v>12</v>
      </c>
      <c r="F20" s="40">
        <f>D20/C20*E20</f>
        <v>0.5</v>
      </c>
      <c r="G20" s="101">
        <v>0</v>
      </c>
      <c r="H20" s="203">
        <f>F20*G20</f>
        <v>0</v>
      </c>
      <c r="I20" s="273">
        <f>I15</f>
        <v>0.9497013774104685</v>
      </c>
      <c r="J20" s="387">
        <f>F20*I20</f>
        <v>0.4748506887052342</v>
      </c>
      <c r="K20" s="203">
        <f>H20*I20</f>
        <v>0</v>
      </c>
    </row>
    <row r="21" spans="1:11" ht="13.5" thickBot="1">
      <c r="A21" s="53" t="s">
        <v>15</v>
      </c>
      <c r="B21" s="157"/>
      <c r="C21" s="37">
        <v>12</v>
      </c>
      <c r="D21" s="37">
        <v>1</v>
      </c>
      <c r="E21" s="37">
        <v>12</v>
      </c>
      <c r="F21" s="37">
        <f>D21/C21*E21</f>
        <v>1</v>
      </c>
      <c r="G21" s="102">
        <v>200</v>
      </c>
      <c r="H21" s="203">
        <f>F21*G21</f>
        <v>200</v>
      </c>
      <c r="I21" s="273">
        <f>I15</f>
        <v>0.9497013774104685</v>
      </c>
      <c r="J21" s="387">
        <f>F21*I21</f>
        <v>0.9497013774104685</v>
      </c>
      <c r="K21" s="203">
        <f>H21*I21</f>
        <v>189.94027548209368</v>
      </c>
    </row>
    <row r="22" spans="1:132" s="39" customFormat="1" ht="18" customHeight="1" thickBot="1">
      <c r="A22" s="49" t="s">
        <v>3</v>
      </c>
      <c r="B22" s="161"/>
      <c r="C22" s="50"/>
      <c r="D22" s="50"/>
      <c r="E22" s="50"/>
      <c r="F22" s="50"/>
      <c r="G22" s="192"/>
      <c r="H22" s="204">
        <f>SUM(H17:H21)</f>
        <v>678</v>
      </c>
      <c r="I22" s="268"/>
      <c r="J22" s="192"/>
      <c r="K22" s="204">
        <f>SUM(K17:K21)</f>
        <v>643.8975338842977</v>
      </c>
      <c r="L22" s="138"/>
      <c r="M22" s="138"/>
      <c r="N22" s="138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</row>
    <row r="23" spans="1:11" ht="12.75">
      <c r="A23" s="51"/>
      <c r="B23" s="158"/>
      <c r="C23" s="52"/>
      <c r="D23" s="52"/>
      <c r="E23" s="52"/>
      <c r="F23" s="52"/>
      <c r="G23" s="126"/>
      <c r="H23" s="206"/>
      <c r="I23" s="270"/>
      <c r="J23" s="126"/>
      <c r="K23" s="206"/>
    </row>
    <row r="24" spans="1:132" s="4" customFormat="1" ht="26.25">
      <c r="A24" s="59" t="s">
        <v>23</v>
      </c>
      <c r="B24" s="160"/>
      <c r="C24" s="9"/>
      <c r="D24" s="9"/>
      <c r="E24" s="35"/>
      <c r="F24" s="35"/>
      <c r="G24" s="24"/>
      <c r="H24" s="108"/>
      <c r="I24" s="272">
        <f>'сан содерж'!F46</f>
        <v>0</v>
      </c>
      <c r="J24" s="388"/>
      <c r="K24" s="108"/>
      <c r="L24" s="136"/>
      <c r="M24" s="136"/>
      <c r="N24" s="136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</row>
    <row r="25" spans="1:11" ht="12.75">
      <c r="A25" s="44"/>
      <c r="B25" s="156"/>
      <c r="C25" s="35"/>
      <c r="D25" s="35"/>
      <c r="E25" s="35"/>
      <c r="F25" s="35"/>
      <c r="G25" s="101"/>
      <c r="H25" s="108"/>
      <c r="I25" s="363"/>
      <c r="J25" s="385"/>
      <c r="K25" s="108"/>
    </row>
    <row r="26" spans="1:11" ht="12.75">
      <c r="A26" s="44" t="s">
        <v>43</v>
      </c>
      <c r="B26" s="156"/>
      <c r="C26" s="35">
        <v>12</v>
      </c>
      <c r="D26" s="35">
        <v>1</v>
      </c>
      <c r="E26" s="35">
        <v>12</v>
      </c>
      <c r="F26" s="35">
        <f>D26/C26*E26</f>
        <v>1</v>
      </c>
      <c r="G26" s="101">
        <v>400</v>
      </c>
      <c r="H26" s="203">
        <f>F26*G26</f>
        <v>400</v>
      </c>
      <c r="I26" s="273">
        <f>I24</f>
        <v>0</v>
      </c>
      <c r="J26" s="387">
        <f>F26*I26</f>
        <v>0</v>
      </c>
      <c r="K26" s="203">
        <f>H26*I26</f>
        <v>0</v>
      </c>
    </row>
    <row r="27" spans="1:11" ht="12.75">
      <c r="A27" s="44" t="s">
        <v>20</v>
      </c>
      <c r="B27" s="156"/>
      <c r="C27" s="35">
        <v>12</v>
      </c>
      <c r="D27" s="35">
        <v>4</v>
      </c>
      <c r="E27" s="35">
        <v>12</v>
      </c>
      <c r="F27" s="35">
        <f>D27/C27*E27</f>
        <v>4</v>
      </c>
      <c r="G27" s="101">
        <v>37</v>
      </c>
      <c r="H27" s="203">
        <f>F27*G27</f>
        <v>148</v>
      </c>
      <c r="I27" s="273">
        <f>I24</f>
        <v>0</v>
      </c>
      <c r="J27" s="387">
        <f>F27*I27</f>
        <v>0</v>
      </c>
      <c r="K27" s="203">
        <f>H27*I27</f>
        <v>0</v>
      </c>
    </row>
    <row r="28" spans="1:11" ht="12.75">
      <c r="A28" s="44" t="s">
        <v>24</v>
      </c>
      <c r="B28" s="156"/>
      <c r="C28" s="35">
        <v>12</v>
      </c>
      <c r="D28" s="35">
        <v>1</v>
      </c>
      <c r="E28" s="35">
        <v>12</v>
      </c>
      <c r="F28" s="35">
        <f>D28/C28*E28</f>
        <v>1</v>
      </c>
      <c r="G28" s="101">
        <v>100</v>
      </c>
      <c r="H28" s="203">
        <f>F28*G28</f>
        <v>100</v>
      </c>
      <c r="I28" s="273">
        <f>I24</f>
        <v>0</v>
      </c>
      <c r="J28" s="387">
        <f>F28*I28</f>
        <v>0</v>
      </c>
      <c r="K28" s="203">
        <f>H28*I28</f>
        <v>0</v>
      </c>
    </row>
    <row r="29" spans="1:11" ht="13.5" thickBot="1">
      <c r="A29" s="53" t="s">
        <v>15</v>
      </c>
      <c r="B29" s="157"/>
      <c r="C29" s="37">
        <v>24</v>
      </c>
      <c r="D29" s="37">
        <v>1</v>
      </c>
      <c r="E29" s="37">
        <v>12</v>
      </c>
      <c r="F29" s="35">
        <f>D29/C29*E29</f>
        <v>0.5</v>
      </c>
      <c r="G29" s="102">
        <v>900</v>
      </c>
      <c r="H29" s="203">
        <f>F29*G29</f>
        <v>450</v>
      </c>
      <c r="I29" s="273">
        <f>I24</f>
        <v>0</v>
      </c>
      <c r="J29" s="387">
        <f>F29*I29</f>
        <v>0</v>
      </c>
      <c r="K29" s="203">
        <f>H29*I29</f>
        <v>0</v>
      </c>
    </row>
    <row r="30" spans="1:132" s="5" customFormat="1" ht="18" customHeight="1" thickBot="1">
      <c r="A30" s="49" t="s">
        <v>3</v>
      </c>
      <c r="B30" s="161"/>
      <c r="C30" s="50"/>
      <c r="D30" s="50"/>
      <c r="E30" s="50"/>
      <c r="F30" s="50"/>
      <c r="G30" s="192"/>
      <c r="H30" s="204">
        <f>SUM(H26:H29)</f>
        <v>1098</v>
      </c>
      <c r="I30" s="268"/>
      <c r="J30" s="192"/>
      <c r="K30" s="204">
        <f>SUM(K26:K29)</f>
        <v>0</v>
      </c>
      <c r="L30" s="116"/>
      <c r="M30" s="116"/>
      <c r="N30" s="116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</row>
    <row r="31" spans="1:11" ht="12.75">
      <c r="A31" s="51"/>
      <c r="B31" s="158"/>
      <c r="C31" s="52"/>
      <c r="D31" s="52"/>
      <c r="E31" s="52"/>
      <c r="F31" s="52"/>
      <c r="G31" s="126"/>
      <c r="H31" s="206"/>
      <c r="I31" s="270"/>
      <c r="J31" s="126"/>
      <c r="K31" s="206"/>
    </row>
    <row r="32" spans="1:11" ht="15">
      <c r="A32" s="45" t="s">
        <v>25</v>
      </c>
      <c r="B32" s="163"/>
      <c r="C32" s="35"/>
      <c r="D32" s="35"/>
      <c r="E32" s="35"/>
      <c r="F32" s="35"/>
      <c r="G32" s="101"/>
      <c r="H32" s="108"/>
      <c r="I32" s="260"/>
      <c r="J32" s="101"/>
      <c r="K32" s="108"/>
    </row>
    <row r="33" spans="1:11" ht="12.75">
      <c r="A33" s="44"/>
      <c r="B33" s="156"/>
      <c r="C33" s="35"/>
      <c r="D33" s="35"/>
      <c r="E33" s="35"/>
      <c r="F33" s="35"/>
      <c r="G33" s="101"/>
      <c r="H33" s="108"/>
      <c r="I33" s="260"/>
      <c r="J33" s="101"/>
      <c r="K33" s="108"/>
    </row>
    <row r="34" spans="1:11" ht="17.25" customHeight="1">
      <c r="A34" s="770" t="s">
        <v>1</v>
      </c>
      <c r="B34" s="771"/>
      <c r="C34" s="772"/>
      <c r="D34" s="772"/>
      <c r="E34" s="11"/>
      <c r="F34" s="35"/>
      <c r="G34" s="101"/>
      <c r="H34" s="108"/>
      <c r="I34" s="363">
        <f>'сан содерж'!F11</f>
        <v>0.8210025316455698</v>
      </c>
      <c r="J34" s="385"/>
      <c r="K34" s="108"/>
    </row>
    <row r="35" spans="1:11" ht="12.75">
      <c r="A35" s="773"/>
      <c r="B35" s="771"/>
      <c r="C35" s="774"/>
      <c r="D35" s="774"/>
      <c r="E35" s="35"/>
      <c r="F35" s="35"/>
      <c r="G35" s="101"/>
      <c r="H35" s="108"/>
      <c r="I35" s="273"/>
      <c r="J35" s="101"/>
      <c r="K35" s="108"/>
    </row>
    <row r="36" spans="1:11" ht="12.75">
      <c r="A36" s="773" t="s">
        <v>423</v>
      </c>
      <c r="B36" s="771"/>
      <c r="C36" s="774">
        <v>12</v>
      </c>
      <c r="D36" s="774">
        <v>12</v>
      </c>
      <c r="E36" s="35">
        <v>12</v>
      </c>
      <c r="F36" s="35">
        <f aca="true" t="shared" si="0" ref="F36:F41">D36/C36*E36</f>
        <v>12</v>
      </c>
      <c r="G36" s="101">
        <v>75</v>
      </c>
      <c r="H36" s="203">
        <f aca="true" t="shared" si="1" ref="H36:H42">F36*G36</f>
        <v>900</v>
      </c>
      <c r="I36" s="273">
        <f>I34</f>
        <v>0.8210025316455698</v>
      </c>
      <c r="J36" s="387">
        <f aca="true" t="shared" si="2" ref="J36:J41">F36*I36</f>
        <v>9.852030379746838</v>
      </c>
      <c r="K36" s="203">
        <f aca="true" t="shared" si="3" ref="K36:K42">H36*I36</f>
        <v>738.9022784810128</v>
      </c>
    </row>
    <row r="37" spans="1:11" ht="12.75">
      <c r="A37" s="773" t="s">
        <v>26</v>
      </c>
      <c r="B37" s="771"/>
      <c r="C37" s="774">
        <v>12</v>
      </c>
      <c r="D37" s="774">
        <v>1</v>
      </c>
      <c r="E37" s="35">
        <v>12</v>
      </c>
      <c r="F37" s="35">
        <f t="shared" si="0"/>
        <v>1</v>
      </c>
      <c r="G37" s="101">
        <v>100</v>
      </c>
      <c r="H37" s="203">
        <f t="shared" si="1"/>
        <v>100</v>
      </c>
      <c r="I37" s="273">
        <f>I34</f>
        <v>0.8210025316455698</v>
      </c>
      <c r="J37" s="387">
        <f t="shared" si="2"/>
        <v>0.8210025316455698</v>
      </c>
      <c r="K37" s="203">
        <f t="shared" si="3"/>
        <v>82.10025316455697</v>
      </c>
    </row>
    <row r="38" spans="1:11" ht="12.75" customHeight="1">
      <c r="A38" s="773" t="s">
        <v>30</v>
      </c>
      <c r="B38" s="771"/>
      <c r="C38" s="774">
        <v>12</v>
      </c>
      <c r="D38" s="774">
        <v>1</v>
      </c>
      <c r="E38" s="35">
        <v>12</v>
      </c>
      <c r="F38" s="35">
        <f t="shared" si="0"/>
        <v>1</v>
      </c>
      <c r="G38" s="101">
        <v>95</v>
      </c>
      <c r="H38" s="203">
        <f t="shared" si="1"/>
        <v>95</v>
      </c>
      <c r="I38" s="273">
        <f>I34</f>
        <v>0.8210025316455698</v>
      </c>
      <c r="J38" s="387">
        <f t="shared" si="2"/>
        <v>0.8210025316455698</v>
      </c>
      <c r="K38" s="203">
        <f t="shared" si="3"/>
        <v>77.99524050632913</v>
      </c>
    </row>
    <row r="39" spans="1:11" ht="12.75" customHeight="1">
      <c r="A39" s="773" t="s">
        <v>27</v>
      </c>
      <c r="B39" s="771"/>
      <c r="C39" s="774">
        <v>12</v>
      </c>
      <c r="D39" s="774">
        <v>1</v>
      </c>
      <c r="E39" s="35">
        <v>12</v>
      </c>
      <c r="F39" s="35">
        <f t="shared" si="0"/>
        <v>1</v>
      </c>
      <c r="G39" s="101">
        <v>95</v>
      </c>
      <c r="H39" s="203">
        <f t="shared" si="1"/>
        <v>95</v>
      </c>
      <c r="I39" s="273">
        <f>I34</f>
        <v>0.8210025316455698</v>
      </c>
      <c r="J39" s="387">
        <f t="shared" si="2"/>
        <v>0.8210025316455698</v>
      </c>
      <c r="K39" s="203">
        <f t="shared" si="3"/>
        <v>77.99524050632913</v>
      </c>
    </row>
    <row r="40" spans="1:11" ht="12.75" customHeight="1">
      <c r="A40" s="773" t="s">
        <v>28</v>
      </c>
      <c r="B40" s="771"/>
      <c r="C40" s="774">
        <v>24</v>
      </c>
      <c r="D40" s="774">
        <v>1</v>
      </c>
      <c r="E40" s="35">
        <v>12</v>
      </c>
      <c r="F40" s="35">
        <f t="shared" si="0"/>
        <v>0.5</v>
      </c>
      <c r="G40" s="101">
        <v>64</v>
      </c>
      <c r="H40" s="203">
        <f>F40*G40</f>
        <v>32</v>
      </c>
      <c r="I40" s="273">
        <f>I34</f>
        <v>0.8210025316455698</v>
      </c>
      <c r="J40" s="387">
        <f t="shared" si="2"/>
        <v>0.4105012658227849</v>
      </c>
      <c r="K40" s="203">
        <f t="shared" si="3"/>
        <v>26.272081012658234</v>
      </c>
    </row>
    <row r="41" spans="1:11" ht="12.75" customHeight="1">
      <c r="A41" s="773" t="s">
        <v>29</v>
      </c>
      <c r="B41" s="771"/>
      <c r="C41" s="775">
        <v>12</v>
      </c>
      <c r="D41" s="775">
        <v>1</v>
      </c>
      <c r="E41" s="37">
        <v>12</v>
      </c>
      <c r="F41" s="37">
        <f t="shared" si="0"/>
        <v>1</v>
      </c>
      <c r="G41" s="101">
        <v>163</v>
      </c>
      <c r="H41" s="203">
        <f t="shared" si="1"/>
        <v>163</v>
      </c>
      <c r="I41" s="273">
        <f>I34</f>
        <v>0.8210025316455698</v>
      </c>
      <c r="J41" s="387">
        <f t="shared" si="2"/>
        <v>0.8210025316455698</v>
      </c>
      <c r="K41" s="203">
        <f t="shared" si="3"/>
        <v>133.82341265822788</v>
      </c>
    </row>
    <row r="42" spans="1:132" s="1" customFormat="1" ht="13.5" thickBot="1">
      <c r="A42" s="776" t="s">
        <v>142</v>
      </c>
      <c r="B42" s="777"/>
      <c r="C42" s="778">
        <v>12</v>
      </c>
      <c r="D42" s="778">
        <v>1</v>
      </c>
      <c r="E42" s="357">
        <v>12</v>
      </c>
      <c r="F42" s="362">
        <f>D42/C42*E42</f>
        <v>1</v>
      </c>
      <c r="G42" s="125">
        <v>45</v>
      </c>
      <c r="H42" s="203">
        <f t="shared" si="1"/>
        <v>45</v>
      </c>
      <c r="I42" s="267">
        <f>I34</f>
        <v>0.8210025316455698</v>
      </c>
      <c r="J42" s="387">
        <f>F42*I42</f>
        <v>0.8210025316455698</v>
      </c>
      <c r="K42" s="203">
        <f t="shared" si="3"/>
        <v>36.94511392405064</v>
      </c>
      <c r="L42" s="134"/>
      <c r="M42" s="134"/>
      <c r="N42" s="135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</row>
    <row r="43" spans="1:132" s="5" customFormat="1" ht="19.5" customHeight="1" thickBot="1">
      <c r="A43" s="55" t="s">
        <v>3</v>
      </c>
      <c r="B43" s="164"/>
      <c r="C43" s="38"/>
      <c r="D43" s="38"/>
      <c r="E43" s="38"/>
      <c r="F43" s="361"/>
      <c r="G43" s="195"/>
      <c r="H43" s="207">
        <f>SUM(H36:H42)</f>
        <v>1430</v>
      </c>
      <c r="I43" s="271"/>
      <c r="J43" s="195"/>
      <c r="K43" s="207">
        <f>SUM(K36:K42)</f>
        <v>1174.0336202531646</v>
      </c>
      <c r="L43" s="116"/>
      <c r="M43" s="116"/>
      <c r="N43" s="116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</row>
    <row r="44" spans="1:11" ht="33" customHeight="1">
      <c r="A44" s="779" t="s">
        <v>143</v>
      </c>
      <c r="B44" s="780" t="s">
        <v>440</v>
      </c>
      <c r="C44" s="781">
        <v>100</v>
      </c>
      <c r="D44" s="737">
        <v>0.2</v>
      </c>
      <c r="E44" s="737">
        <v>24</v>
      </c>
      <c r="F44" s="738">
        <f>D44/C44*E44</f>
        <v>0.048</v>
      </c>
      <c r="G44" s="126">
        <v>60</v>
      </c>
      <c r="H44" s="206">
        <f>F44*G44</f>
        <v>2.88</v>
      </c>
      <c r="I44" s="270">
        <f>'Исход дан'!D14+'Исход дан'!D15</f>
        <v>579.1</v>
      </c>
      <c r="J44" s="707">
        <f>I44*F44</f>
        <v>27.7968</v>
      </c>
      <c r="K44" s="206">
        <f>H44*I44</f>
        <v>1667.808</v>
      </c>
    </row>
    <row r="45" spans="1:11" ht="18.75" customHeight="1">
      <c r="A45" s="782" t="s">
        <v>469</v>
      </c>
      <c r="B45" s="783"/>
      <c r="C45" s="784"/>
      <c r="D45" s="56"/>
      <c r="E45" s="56"/>
      <c r="F45" s="52"/>
      <c r="G45" s="126"/>
      <c r="H45" s="205"/>
      <c r="I45" s="301">
        <f>'сан содерж'!F33</f>
        <v>0.9497013774104685</v>
      </c>
      <c r="J45" s="389"/>
      <c r="K45" s="205"/>
    </row>
    <row r="46" spans="1:11" ht="12.75">
      <c r="A46" s="773"/>
      <c r="B46" s="771"/>
      <c r="C46" s="774"/>
      <c r="D46" s="35"/>
      <c r="E46" s="35"/>
      <c r="F46" s="35"/>
      <c r="G46" s="101"/>
      <c r="H46" s="108"/>
      <c r="I46" s="363"/>
      <c r="J46" s="385"/>
      <c r="K46" s="108"/>
    </row>
    <row r="47" spans="1:11" ht="12.75">
      <c r="A47" s="773" t="s">
        <v>32</v>
      </c>
      <c r="B47" s="771"/>
      <c r="C47" s="774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1">
        <v>44</v>
      </c>
      <c r="H47" s="206">
        <f aca="true" t="shared" si="5" ref="H47:H55">F47*G47</f>
        <v>1411.6666666666665</v>
      </c>
      <c r="I47" s="273">
        <f>I45</f>
        <v>0.9497013774104685</v>
      </c>
      <c r="J47" s="387">
        <f aca="true" t="shared" si="6" ref="J47:J55">F47*I47</f>
        <v>30.46958585858586</v>
      </c>
      <c r="K47" s="203">
        <f aca="true" t="shared" si="7" ref="K47:K55">H47*I47</f>
        <v>1340.6617777777778</v>
      </c>
    </row>
    <row r="48" spans="1:11" ht="12.75">
      <c r="A48" s="773" t="s">
        <v>154</v>
      </c>
      <c r="B48" s="771"/>
      <c r="C48" s="774">
        <v>60</v>
      </c>
      <c r="D48" s="35">
        <v>1</v>
      </c>
      <c r="E48" s="35">
        <v>5.5</v>
      </c>
      <c r="F48" s="40">
        <f t="shared" si="4"/>
        <v>0.09166666666666666</v>
      </c>
      <c r="G48" s="101">
        <v>0</v>
      </c>
      <c r="H48" s="206">
        <f t="shared" si="5"/>
        <v>0</v>
      </c>
      <c r="I48" s="273">
        <f>I45</f>
        <v>0.9497013774104685</v>
      </c>
      <c r="J48" s="387">
        <f t="shared" si="6"/>
        <v>0.0870559595959596</v>
      </c>
      <c r="K48" s="203">
        <f t="shared" si="7"/>
        <v>0</v>
      </c>
    </row>
    <row r="49" spans="1:11" ht="12.75">
      <c r="A49" s="773" t="s">
        <v>33</v>
      </c>
      <c r="B49" s="771"/>
      <c r="C49" s="774">
        <v>60</v>
      </c>
      <c r="D49" s="35">
        <v>1</v>
      </c>
      <c r="E49" s="35">
        <v>5.5</v>
      </c>
      <c r="F49" s="40">
        <f t="shared" si="4"/>
        <v>0.09166666666666666</v>
      </c>
      <c r="G49" s="101">
        <v>0</v>
      </c>
      <c r="H49" s="206">
        <f t="shared" si="5"/>
        <v>0</v>
      </c>
      <c r="I49" s="273">
        <f>I45</f>
        <v>0.9497013774104685</v>
      </c>
      <c r="J49" s="387">
        <f t="shared" si="6"/>
        <v>0.0870559595959596</v>
      </c>
      <c r="K49" s="203">
        <f t="shared" si="7"/>
        <v>0</v>
      </c>
    </row>
    <row r="50" spans="1:11" ht="12.75">
      <c r="A50" s="773" t="s">
        <v>34</v>
      </c>
      <c r="B50" s="771"/>
      <c r="C50" s="774">
        <v>24</v>
      </c>
      <c r="D50" s="35">
        <v>1</v>
      </c>
      <c r="E50" s="35">
        <v>5.5</v>
      </c>
      <c r="F50" s="40">
        <f t="shared" si="4"/>
        <v>0.22916666666666666</v>
      </c>
      <c r="G50" s="101">
        <v>126</v>
      </c>
      <c r="H50" s="206">
        <f t="shared" si="5"/>
        <v>28.875</v>
      </c>
      <c r="I50" s="273">
        <f>I45</f>
        <v>0.9497013774104685</v>
      </c>
      <c r="J50" s="387">
        <f t="shared" si="6"/>
        <v>0.21763989898989902</v>
      </c>
      <c r="K50" s="203">
        <f t="shared" si="7"/>
        <v>27.422627272727276</v>
      </c>
    </row>
    <row r="51" spans="1:11" ht="12.75">
      <c r="A51" s="773" t="s">
        <v>35</v>
      </c>
      <c r="B51" s="771"/>
      <c r="C51" s="774">
        <v>24</v>
      </c>
      <c r="D51" s="35">
        <v>1</v>
      </c>
      <c r="E51" s="35">
        <v>5.5</v>
      </c>
      <c r="F51" s="40">
        <f t="shared" si="4"/>
        <v>0.22916666666666666</v>
      </c>
      <c r="G51" s="101">
        <v>251</v>
      </c>
      <c r="H51" s="206">
        <f t="shared" si="5"/>
        <v>57.52083333333333</v>
      </c>
      <c r="I51" s="273">
        <f>I45</f>
        <v>0.9497013774104685</v>
      </c>
      <c r="J51" s="387">
        <f t="shared" si="6"/>
        <v>0.21763989898989902</v>
      </c>
      <c r="K51" s="203">
        <f t="shared" si="7"/>
        <v>54.62761464646465</v>
      </c>
    </row>
    <row r="52" spans="1:11" ht="12.75">
      <c r="A52" s="773" t="s">
        <v>468</v>
      </c>
      <c r="B52" s="771"/>
      <c r="C52" s="774">
        <v>12</v>
      </c>
      <c r="D52" s="35">
        <v>1</v>
      </c>
      <c r="E52" s="35">
        <v>5.5</v>
      </c>
      <c r="F52" s="40">
        <f>D52/C52*E52</f>
        <v>0.4583333333333333</v>
      </c>
      <c r="G52" s="101"/>
      <c r="H52" s="206">
        <f t="shared" si="5"/>
        <v>0</v>
      </c>
      <c r="I52" s="273">
        <f>I45</f>
        <v>0.9497013774104685</v>
      </c>
      <c r="J52" s="387">
        <f t="shared" si="6"/>
        <v>0.43527979797979804</v>
      </c>
      <c r="K52" s="203">
        <f t="shared" si="7"/>
        <v>0</v>
      </c>
    </row>
    <row r="53" spans="1:11" ht="12.75">
      <c r="A53" s="773" t="s">
        <v>37</v>
      </c>
      <c r="B53" s="771"/>
      <c r="C53" s="774">
        <v>24</v>
      </c>
      <c r="D53" s="35">
        <v>1</v>
      </c>
      <c r="E53" s="35">
        <v>5.5</v>
      </c>
      <c r="F53" s="40">
        <f t="shared" si="4"/>
        <v>0.22916666666666666</v>
      </c>
      <c r="G53" s="101">
        <v>0</v>
      </c>
      <c r="H53" s="206">
        <f t="shared" si="5"/>
        <v>0</v>
      </c>
      <c r="I53" s="273">
        <f>I45</f>
        <v>0.9497013774104685</v>
      </c>
      <c r="J53" s="387">
        <f t="shared" si="6"/>
        <v>0.21763989898989902</v>
      </c>
      <c r="K53" s="203">
        <f t="shared" si="7"/>
        <v>0</v>
      </c>
    </row>
    <row r="54" spans="1:11" ht="12.75">
      <c r="A54" s="773" t="s">
        <v>36</v>
      </c>
      <c r="B54" s="771"/>
      <c r="C54" s="774">
        <v>12</v>
      </c>
      <c r="D54" s="35">
        <v>1</v>
      </c>
      <c r="E54" s="35">
        <v>5.5</v>
      </c>
      <c r="F54" s="40">
        <f t="shared" si="4"/>
        <v>0.4583333333333333</v>
      </c>
      <c r="G54" s="101">
        <v>150</v>
      </c>
      <c r="H54" s="206">
        <f t="shared" si="5"/>
        <v>68.75</v>
      </c>
      <c r="I54" s="273">
        <f>I45</f>
        <v>0.9497013774104685</v>
      </c>
      <c r="J54" s="387">
        <f t="shared" si="6"/>
        <v>0.43527979797979804</v>
      </c>
      <c r="K54" s="203">
        <f t="shared" si="7"/>
        <v>65.2919696969697</v>
      </c>
    </row>
    <row r="55" spans="1:11" ht="13.5" thickBot="1">
      <c r="A55" s="773" t="s">
        <v>38</v>
      </c>
      <c r="B55" s="771"/>
      <c r="C55" s="774">
        <v>24</v>
      </c>
      <c r="D55" s="35">
        <v>1</v>
      </c>
      <c r="E55" s="35">
        <v>5.5</v>
      </c>
      <c r="F55" s="40">
        <f t="shared" si="4"/>
        <v>0.22916666666666666</v>
      </c>
      <c r="G55" s="101">
        <v>50</v>
      </c>
      <c r="H55" s="206">
        <f t="shared" si="5"/>
        <v>11.458333333333332</v>
      </c>
      <c r="I55" s="273">
        <f>I45</f>
        <v>0.9497013774104685</v>
      </c>
      <c r="J55" s="387">
        <f t="shared" si="6"/>
        <v>0.21763989898989902</v>
      </c>
      <c r="K55" s="203">
        <f t="shared" si="7"/>
        <v>10.881994949494949</v>
      </c>
    </row>
    <row r="56" spans="1:132" s="39" customFormat="1" ht="15.75" customHeight="1" thickBot="1">
      <c r="A56" s="364" t="s">
        <v>194</v>
      </c>
      <c r="B56" s="365"/>
      <c r="C56" s="366"/>
      <c r="D56" s="366"/>
      <c r="E56" s="366"/>
      <c r="F56" s="366"/>
      <c r="G56" s="367"/>
      <c r="H56" s="368">
        <f>SUM(H47:H55)</f>
        <v>1578.270833333333</v>
      </c>
      <c r="I56" s="369"/>
      <c r="J56" s="367"/>
      <c r="K56" s="368">
        <f>SUM(K47:K55)</f>
        <v>1498.8859843434348</v>
      </c>
      <c r="L56" s="138"/>
      <c r="M56" s="138"/>
      <c r="N56" s="138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</row>
    <row r="57" spans="1:11" ht="12.75">
      <c r="A57" s="51"/>
      <c r="B57" s="158"/>
      <c r="C57" s="52"/>
      <c r="D57" s="52"/>
      <c r="E57" s="52"/>
      <c r="F57" s="52"/>
      <c r="G57" s="126"/>
      <c r="H57" s="205"/>
      <c r="I57" s="270"/>
      <c r="J57" s="126"/>
      <c r="K57" s="205"/>
    </row>
    <row r="58" spans="1:11" ht="18" customHeight="1">
      <c r="A58" s="60" t="s">
        <v>470</v>
      </c>
      <c r="B58" s="169"/>
      <c r="C58" s="35"/>
      <c r="D58" s="35"/>
      <c r="E58" s="35"/>
      <c r="F58" s="35"/>
      <c r="G58" s="101"/>
      <c r="H58" s="108"/>
      <c r="I58" s="272">
        <f>'сан содерж'!F33</f>
        <v>0.9497013774104685</v>
      </c>
      <c r="J58" s="390"/>
      <c r="K58" s="108"/>
    </row>
    <row r="59" spans="1:11" ht="12.75">
      <c r="A59" s="43"/>
      <c r="B59" s="156"/>
      <c r="C59" s="35"/>
      <c r="D59" s="35"/>
      <c r="E59" s="35"/>
      <c r="F59" s="35"/>
      <c r="G59" s="101"/>
      <c r="H59" s="108"/>
      <c r="I59" s="363"/>
      <c r="J59" s="385"/>
      <c r="K59" s="108"/>
    </row>
    <row r="60" spans="1:132" s="31" customFormat="1" ht="12.75">
      <c r="A60" s="785" t="s">
        <v>27</v>
      </c>
      <c r="B60" s="771"/>
      <c r="C60" s="786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0">
        <v>121</v>
      </c>
      <c r="H60" s="206">
        <f aca="true" t="shared" si="9" ref="H60:H67">F60*G60</f>
        <v>21.84722222222222</v>
      </c>
      <c r="I60" s="273">
        <f>I58</f>
        <v>0.9497013774104685</v>
      </c>
      <c r="J60" s="387">
        <f aca="true" t="shared" si="10" ref="J60:J68">F60*I60</f>
        <v>0.17147385981022348</v>
      </c>
      <c r="K60" s="203">
        <f aca="true" t="shared" si="11" ref="K60:K68">H60*I60</f>
        <v>20.74833703703704</v>
      </c>
      <c r="L60" s="141"/>
      <c r="M60" s="141"/>
      <c r="N60" s="141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</row>
    <row r="61" spans="1:132" s="31" customFormat="1" ht="12.75">
      <c r="A61" s="785" t="s">
        <v>39</v>
      </c>
      <c r="B61" s="771"/>
      <c r="C61" s="786">
        <v>36</v>
      </c>
      <c r="D61" s="32">
        <v>1</v>
      </c>
      <c r="E61" s="32">
        <v>6.5</v>
      </c>
      <c r="F61" s="40">
        <f t="shared" si="8"/>
        <v>0.18055555555555555</v>
      </c>
      <c r="G61" s="100">
        <v>155</v>
      </c>
      <c r="H61" s="206">
        <f t="shared" si="9"/>
        <v>27.98611111111111</v>
      </c>
      <c r="I61" s="273">
        <f>I58</f>
        <v>0.9497013774104685</v>
      </c>
      <c r="J61" s="387">
        <f t="shared" si="10"/>
        <v>0.17147385981022348</v>
      </c>
      <c r="K61" s="203">
        <f t="shared" si="11"/>
        <v>26.578448270584637</v>
      </c>
      <c r="L61" s="141"/>
      <c r="M61" s="141"/>
      <c r="N61" s="141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</row>
    <row r="62" spans="1:11" ht="12.75">
      <c r="A62" s="773" t="s">
        <v>35</v>
      </c>
      <c r="B62" s="771"/>
      <c r="C62" s="774">
        <v>12</v>
      </c>
      <c r="D62" s="35">
        <v>1</v>
      </c>
      <c r="E62" s="32">
        <v>6.5</v>
      </c>
      <c r="F62" s="40">
        <f t="shared" si="8"/>
        <v>0.5416666666666666</v>
      </c>
      <c r="G62" s="101">
        <v>92</v>
      </c>
      <c r="H62" s="206">
        <f t="shared" si="9"/>
        <v>49.83333333333333</v>
      </c>
      <c r="I62" s="273">
        <f>I58</f>
        <v>0.9497013774104685</v>
      </c>
      <c r="J62" s="387">
        <f t="shared" si="10"/>
        <v>0.5144215794306704</v>
      </c>
      <c r="K62" s="203">
        <f t="shared" si="11"/>
        <v>47.32678530762168</v>
      </c>
    </row>
    <row r="63" spans="1:11" ht="12.75">
      <c r="A63" s="773" t="s">
        <v>31</v>
      </c>
      <c r="B63" s="771"/>
      <c r="C63" s="774">
        <v>12</v>
      </c>
      <c r="D63" s="35">
        <v>53</v>
      </c>
      <c r="E63" s="32">
        <v>6.5</v>
      </c>
      <c r="F63" s="40">
        <f t="shared" si="8"/>
        <v>28.708333333333336</v>
      </c>
      <c r="G63" s="101">
        <v>44</v>
      </c>
      <c r="H63" s="206">
        <f t="shared" si="9"/>
        <v>1263.1666666666667</v>
      </c>
      <c r="I63" s="273">
        <f>I58</f>
        <v>0.9497013774104685</v>
      </c>
      <c r="J63" s="387">
        <f t="shared" si="10"/>
        <v>27.264343709825535</v>
      </c>
      <c r="K63" s="203">
        <f t="shared" si="11"/>
        <v>1199.6311232323235</v>
      </c>
    </row>
    <row r="64" spans="1:11" ht="12.75">
      <c r="A64" s="773" t="s">
        <v>40</v>
      </c>
      <c r="B64" s="771" t="s">
        <v>144</v>
      </c>
      <c r="C64" s="774">
        <v>365</v>
      </c>
      <c r="D64" s="35">
        <v>365</v>
      </c>
      <c r="E64" s="32">
        <v>143</v>
      </c>
      <c r="F64" s="70">
        <f t="shared" si="8"/>
        <v>143</v>
      </c>
      <c r="G64" s="101">
        <v>2.5</v>
      </c>
      <c r="H64" s="206">
        <f t="shared" si="9"/>
        <v>357.5</v>
      </c>
      <c r="I64" s="273">
        <f>I58</f>
        <v>0.9497013774104685</v>
      </c>
      <c r="J64" s="387">
        <f t="shared" si="10"/>
        <v>135.80729696969698</v>
      </c>
      <c r="K64" s="203">
        <f t="shared" si="11"/>
        <v>339.5182424242425</v>
      </c>
    </row>
    <row r="65" spans="1:11" ht="12.75">
      <c r="A65" s="773" t="s">
        <v>37</v>
      </c>
      <c r="B65" s="771"/>
      <c r="C65" s="774">
        <v>24</v>
      </c>
      <c r="D65" s="35">
        <v>1</v>
      </c>
      <c r="E65" s="35">
        <v>6.5</v>
      </c>
      <c r="F65" s="40">
        <f t="shared" si="8"/>
        <v>0.2708333333333333</v>
      </c>
      <c r="G65" s="101">
        <v>0</v>
      </c>
      <c r="H65" s="206">
        <f t="shared" si="9"/>
        <v>0</v>
      </c>
      <c r="I65" s="273">
        <f>I58</f>
        <v>0.9497013774104685</v>
      </c>
      <c r="J65" s="387">
        <f t="shared" si="10"/>
        <v>0.2572107897153352</v>
      </c>
      <c r="K65" s="203">
        <f t="shared" si="11"/>
        <v>0</v>
      </c>
    </row>
    <row r="66" spans="1:11" ht="12.75">
      <c r="A66" s="773" t="s">
        <v>26</v>
      </c>
      <c r="B66" s="771"/>
      <c r="C66" s="774">
        <v>12</v>
      </c>
      <c r="D66" s="35">
        <v>4</v>
      </c>
      <c r="E66" s="32">
        <v>6.5</v>
      </c>
      <c r="F66" s="40">
        <f t="shared" si="8"/>
        <v>2.1666666666666665</v>
      </c>
      <c r="G66" s="101">
        <v>150</v>
      </c>
      <c r="H66" s="206">
        <f t="shared" si="9"/>
        <v>325</v>
      </c>
      <c r="I66" s="273">
        <f>I58</f>
        <v>0.9497013774104685</v>
      </c>
      <c r="J66" s="387">
        <f t="shared" si="10"/>
        <v>2.0576863177226814</v>
      </c>
      <c r="K66" s="203">
        <f t="shared" si="11"/>
        <v>308.65294765840224</v>
      </c>
    </row>
    <row r="67" spans="1:132" s="31" customFormat="1" ht="12.75">
      <c r="A67" s="785" t="s">
        <v>29</v>
      </c>
      <c r="B67" s="771"/>
      <c r="C67" s="786">
        <v>12</v>
      </c>
      <c r="D67" s="32">
        <v>1</v>
      </c>
      <c r="E67" s="32">
        <v>6.5</v>
      </c>
      <c r="F67" s="40">
        <f t="shared" si="8"/>
        <v>0.5416666666666666</v>
      </c>
      <c r="G67" s="100">
        <v>200</v>
      </c>
      <c r="H67" s="206">
        <f t="shared" si="9"/>
        <v>108.33333333333333</v>
      </c>
      <c r="I67" s="273">
        <f>I58</f>
        <v>0.9497013774104685</v>
      </c>
      <c r="J67" s="387">
        <f t="shared" si="10"/>
        <v>0.5144215794306704</v>
      </c>
      <c r="K67" s="203">
        <f t="shared" si="11"/>
        <v>102.88431588613408</v>
      </c>
      <c r="L67" s="141"/>
      <c r="M67" s="141"/>
      <c r="N67" s="141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</row>
    <row r="68" spans="1:132" s="31" customFormat="1" ht="13.5" thickBot="1">
      <c r="A68" s="787" t="s">
        <v>41</v>
      </c>
      <c r="B68" s="788"/>
      <c r="C68" s="789">
        <v>36</v>
      </c>
      <c r="D68" s="77">
        <v>1</v>
      </c>
      <c r="E68" s="77">
        <v>6.5</v>
      </c>
      <c r="F68" s="48">
        <f t="shared" si="8"/>
        <v>0.18055555555555555</v>
      </c>
      <c r="G68" s="196">
        <v>500</v>
      </c>
      <c r="H68" s="206">
        <f>F68*G68</f>
        <v>90.27777777777777</v>
      </c>
      <c r="I68" s="267">
        <f>I58</f>
        <v>0.9497013774104685</v>
      </c>
      <c r="J68" s="387">
        <f t="shared" si="10"/>
        <v>0.17147385981022348</v>
      </c>
      <c r="K68" s="203">
        <f t="shared" si="11"/>
        <v>85.73692990511172</v>
      </c>
      <c r="L68" s="141"/>
      <c r="M68" s="141"/>
      <c r="N68" s="141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</row>
    <row r="69" spans="1:132" s="5" customFormat="1" ht="15.75" customHeight="1" thickBot="1">
      <c r="A69" s="375" t="s">
        <v>193</v>
      </c>
      <c r="B69" s="370"/>
      <c r="C69" s="344"/>
      <c r="D69" s="344"/>
      <c r="E69" s="344"/>
      <c r="F69" s="371"/>
      <c r="G69" s="372"/>
      <c r="H69" s="373">
        <f>SUM(H60:H68)</f>
        <v>2243.944444444445</v>
      </c>
      <c r="I69" s="374"/>
      <c r="J69" s="392"/>
      <c r="K69" s="373">
        <f>SUM(K60:K68)</f>
        <v>2131.0771297214574</v>
      </c>
      <c r="L69" s="116"/>
      <c r="M69" s="116"/>
      <c r="N69" s="116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</row>
    <row r="70" spans="1:132" s="39" customFormat="1" ht="15.75" customHeight="1">
      <c r="A70" s="790" t="s">
        <v>45</v>
      </c>
      <c r="B70" s="791"/>
      <c r="C70" s="792"/>
      <c r="D70" s="792"/>
      <c r="E70" s="792"/>
      <c r="F70" s="377"/>
      <c r="G70" s="378"/>
      <c r="H70" s="379">
        <f>H56+H69</f>
        <v>3822.215277777778</v>
      </c>
      <c r="I70" s="380"/>
      <c r="J70" s="393"/>
      <c r="K70" s="379">
        <f>K56+K69</f>
        <v>3629.963114064892</v>
      </c>
      <c r="L70" s="138"/>
      <c r="M70" s="138"/>
      <c r="N70" s="138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</row>
    <row r="71" spans="1:132" s="4" customFormat="1" ht="33" customHeight="1">
      <c r="A71" s="793" t="s">
        <v>471</v>
      </c>
      <c r="B71" s="794" t="s">
        <v>526</v>
      </c>
      <c r="C71" s="795">
        <v>1000</v>
      </c>
      <c r="D71" s="795">
        <v>2</v>
      </c>
      <c r="E71" s="795">
        <v>30</v>
      </c>
      <c r="F71" s="40">
        <v>0.06</v>
      </c>
      <c r="G71" s="194">
        <v>350</v>
      </c>
      <c r="H71" s="412">
        <f>F71*G71</f>
        <v>21</v>
      </c>
      <c r="I71" s="413">
        <f>('сан содерж'!D22+'сан содерж'!D23+'сан содерж'!D24)/50</f>
        <v>44.5</v>
      </c>
      <c r="J71" s="414">
        <f>F71*I71</f>
        <v>2.67</v>
      </c>
      <c r="K71" s="203">
        <f>H71*I71</f>
        <v>934.5</v>
      </c>
      <c r="L71" s="136"/>
      <c r="M71" s="136"/>
      <c r="N71" s="136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</row>
    <row r="72" spans="1:132" s="31" customFormat="1" ht="28.5" customHeight="1" thickBot="1">
      <c r="A72" s="796"/>
      <c r="B72" s="797"/>
      <c r="C72" s="798"/>
      <c r="D72" s="798"/>
      <c r="E72" s="798"/>
      <c r="F72" s="78"/>
      <c r="G72" s="127"/>
      <c r="H72" s="208"/>
      <c r="I72" s="274"/>
      <c r="J72" s="127"/>
      <c r="K72" s="208"/>
      <c r="L72" s="141"/>
      <c r="M72" s="141"/>
      <c r="N72" s="141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</row>
    <row r="73" spans="1:11" ht="27.75" customHeight="1" hidden="1">
      <c r="A73" s="64" t="s">
        <v>23</v>
      </c>
      <c r="B73" s="165"/>
      <c r="C73" s="14"/>
      <c r="D73" s="14"/>
      <c r="E73" s="14"/>
      <c r="F73" s="52"/>
      <c r="G73" s="126"/>
      <c r="H73" s="205"/>
      <c r="I73" s="705">
        <f>'сан содерж'!F46</f>
        <v>0</v>
      </c>
      <c r="J73" s="394"/>
      <c r="K73" s="205"/>
    </row>
    <row r="74" spans="1:11" ht="12.75" hidden="1">
      <c r="A74" s="44"/>
      <c r="B74" s="156"/>
      <c r="C74" s="35"/>
      <c r="D74" s="35"/>
      <c r="E74" s="35"/>
      <c r="F74" s="35"/>
      <c r="G74" s="101"/>
      <c r="H74" s="108"/>
      <c r="I74" s="273"/>
      <c r="J74" s="101"/>
      <c r="K74" s="108"/>
    </row>
    <row r="75" spans="1:11" ht="12.75" hidden="1">
      <c r="A75" s="44" t="s">
        <v>27</v>
      </c>
      <c r="B75" s="156"/>
      <c r="C75" s="35">
        <v>12</v>
      </c>
      <c r="D75" s="35">
        <v>1</v>
      </c>
      <c r="E75" s="35">
        <v>12</v>
      </c>
      <c r="F75" s="35">
        <f>D75/C75*E75</f>
        <v>1</v>
      </c>
      <c r="G75" s="101">
        <v>120</v>
      </c>
      <c r="H75" s="206">
        <f>F75*G75</f>
        <v>120</v>
      </c>
      <c r="I75" s="273">
        <f>I73</f>
        <v>0</v>
      </c>
      <c r="J75" s="387">
        <f>F75*I75</f>
        <v>0</v>
      </c>
      <c r="K75" s="203">
        <f>H75*I75</f>
        <v>0</v>
      </c>
    </row>
    <row r="76" spans="1:11" ht="12.75" hidden="1">
      <c r="A76" s="44" t="s">
        <v>42</v>
      </c>
      <c r="B76" s="156"/>
      <c r="C76" s="35">
        <v>12</v>
      </c>
      <c r="D76" s="35">
        <v>6</v>
      </c>
      <c r="E76" s="35">
        <v>12</v>
      </c>
      <c r="F76" s="35">
        <f>D76/C76*E76</f>
        <v>6</v>
      </c>
      <c r="G76" s="101">
        <v>200</v>
      </c>
      <c r="H76" s="206">
        <f>F76*G76</f>
        <v>1200</v>
      </c>
      <c r="I76" s="273">
        <f>I73</f>
        <v>0</v>
      </c>
      <c r="J76" s="387">
        <f>F76*I76</f>
        <v>0</v>
      </c>
      <c r="K76" s="203">
        <f>H76*I76</f>
        <v>0</v>
      </c>
    </row>
    <row r="77" spans="1:132" s="31" customFormat="1" ht="12.75" hidden="1">
      <c r="A77" s="46" t="s">
        <v>41</v>
      </c>
      <c r="B77" s="156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0">
        <v>80</v>
      </c>
      <c r="H77" s="206">
        <f>F77*G77</f>
        <v>26.666666666666664</v>
      </c>
      <c r="I77" s="273">
        <f>I73</f>
        <v>0</v>
      </c>
      <c r="J77" s="387">
        <f>F77*I77</f>
        <v>0</v>
      </c>
      <c r="K77" s="203">
        <f>H77*I77</f>
        <v>0</v>
      </c>
      <c r="L77" s="141"/>
      <c r="M77" s="141"/>
      <c r="N77" s="141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</row>
    <row r="78" spans="1:11" ht="13.5" hidden="1" thickBot="1">
      <c r="A78" s="44" t="s">
        <v>26</v>
      </c>
      <c r="B78" s="156"/>
      <c r="C78" s="35">
        <v>12</v>
      </c>
      <c r="D78" s="35">
        <v>12</v>
      </c>
      <c r="E78" s="35">
        <v>12</v>
      </c>
      <c r="F78" s="35">
        <f>D78/C78*E78</f>
        <v>12</v>
      </c>
      <c r="G78" s="101">
        <v>177</v>
      </c>
      <c r="H78" s="206">
        <f>F78*G78</f>
        <v>2124</v>
      </c>
      <c r="I78" s="273">
        <f>I73</f>
        <v>0</v>
      </c>
      <c r="J78" s="387">
        <f>F78*I78</f>
        <v>0</v>
      </c>
      <c r="K78" s="203">
        <f>H78*I78</f>
        <v>0</v>
      </c>
    </row>
    <row r="79" spans="1:132" s="39" customFormat="1" ht="18" customHeight="1" thickBot="1">
      <c r="A79" s="49" t="s">
        <v>3</v>
      </c>
      <c r="B79" s="161"/>
      <c r="C79" s="50"/>
      <c r="D79" s="50"/>
      <c r="E79" s="50"/>
      <c r="F79" s="50"/>
      <c r="G79" s="192"/>
      <c r="H79" s="204">
        <f>SUM(H75:H78)</f>
        <v>3470.666666666667</v>
      </c>
      <c r="I79" s="268"/>
      <c r="J79" s="192"/>
      <c r="K79" s="204">
        <f>SUM(K75:K78)</f>
        <v>0</v>
      </c>
      <c r="L79" s="138"/>
      <c r="M79" s="138"/>
      <c r="N79" s="138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</row>
    <row r="80" spans="1:132" s="63" customFormat="1" ht="16.5" customHeight="1" thickBot="1">
      <c r="A80" s="65"/>
      <c r="B80" s="166"/>
      <c r="C80" s="66"/>
      <c r="D80" s="66"/>
      <c r="E80" s="66"/>
      <c r="F80" s="66"/>
      <c r="G80" s="197"/>
      <c r="H80" s="209"/>
      <c r="I80" s="275"/>
      <c r="J80" s="197"/>
      <c r="K80" s="209"/>
      <c r="L80" s="143"/>
      <c r="M80" s="143"/>
      <c r="N80" s="143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</row>
    <row r="81" spans="1:132" s="68" customFormat="1" ht="41.25" customHeight="1" hidden="1" thickBot="1">
      <c r="A81" s="349" t="s">
        <v>47</v>
      </c>
      <c r="B81" s="170"/>
      <c r="C81" s="67"/>
      <c r="D81" s="67"/>
      <c r="E81" s="67"/>
      <c r="F81" s="67"/>
      <c r="G81" s="198"/>
      <c r="H81" s="210"/>
      <c r="I81" s="276"/>
      <c r="J81" s="198"/>
      <c r="K81" s="210"/>
      <c r="L81" s="145"/>
      <c r="M81" s="145"/>
      <c r="N81" s="145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</row>
    <row r="82" spans="1:132" s="68" customFormat="1" ht="35.25" customHeight="1" hidden="1">
      <c r="A82" s="72" t="s">
        <v>48</v>
      </c>
      <c r="B82" s="167"/>
      <c r="C82" s="69"/>
      <c r="D82" s="69"/>
      <c r="E82" s="69"/>
      <c r="F82" s="69"/>
      <c r="G82" s="199"/>
      <c r="H82" s="527"/>
      <c r="I82" s="277"/>
      <c r="J82" s="199"/>
      <c r="K82" s="211"/>
      <c r="L82" s="145"/>
      <c r="M82" s="145"/>
      <c r="N82" s="145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</row>
    <row r="83" spans="1:132" s="1" customFormat="1" ht="30" customHeight="1" hidden="1">
      <c r="A83" s="42" t="s">
        <v>155</v>
      </c>
      <c r="B83" s="265" t="s">
        <v>434</v>
      </c>
      <c r="C83" s="23">
        <v>1</v>
      </c>
      <c r="D83" s="23">
        <v>0.02</v>
      </c>
      <c r="E83" s="23">
        <v>183</v>
      </c>
      <c r="F83" s="261">
        <f>D83/C83*E83</f>
        <v>3.66</v>
      </c>
      <c r="G83" s="194"/>
      <c r="H83" s="206">
        <f>F83*G83</f>
        <v>0</v>
      </c>
      <c r="I83" s="278">
        <f>'Исход дан'!D50</f>
        <v>0</v>
      </c>
      <c r="J83" s="387">
        <f>F83*I83</f>
        <v>0</v>
      </c>
      <c r="K83" s="203">
        <f>H83*I83</f>
        <v>0</v>
      </c>
      <c r="L83" s="134"/>
      <c r="M83" s="134"/>
      <c r="N83" s="135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</row>
    <row r="84" spans="1:132" s="1" customFormat="1" ht="28.5" customHeight="1" hidden="1">
      <c r="A84" s="73" t="s">
        <v>53</v>
      </c>
      <c r="B84" s="160"/>
      <c r="C84" s="266"/>
      <c r="D84" s="266"/>
      <c r="E84" s="266"/>
      <c r="F84" s="35"/>
      <c r="G84" s="194"/>
      <c r="H84" s="203"/>
      <c r="I84" s="278"/>
      <c r="J84" s="387"/>
      <c r="K84" s="203"/>
      <c r="L84" s="134"/>
      <c r="M84" s="134"/>
      <c r="N84" s="135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</row>
    <row r="85" spans="1:132" s="1" customFormat="1" ht="26.25" hidden="1">
      <c r="A85" s="42" t="s">
        <v>147</v>
      </c>
      <c r="B85" s="265" t="s">
        <v>313</v>
      </c>
      <c r="C85" s="23">
        <v>100</v>
      </c>
      <c r="D85" s="23">
        <v>1.5</v>
      </c>
      <c r="E85" s="23">
        <v>183</v>
      </c>
      <c r="F85" s="261">
        <f>D85/C85*E85</f>
        <v>2.745</v>
      </c>
      <c r="G85" s="194"/>
      <c r="H85" s="206">
        <f>F85*G85</f>
        <v>0</v>
      </c>
      <c r="I85" s="278">
        <f>'Исход дан'!D52</f>
        <v>0</v>
      </c>
      <c r="J85" s="387">
        <f>F85*I85</f>
        <v>0</v>
      </c>
      <c r="K85" s="203">
        <f>H85*I85</f>
        <v>0</v>
      </c>
      <c r="L85" s="134"/>
      <c r="M85" s="134"/>
      <c r="N85" s="135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</row>
    <row r="86" spans="1:132" s="1" customFormat="1" ht="26.25" hidden="1">
      <c r="A86" s="73" t="s">
        <v>54</v>
      </c>
      <c r="B86" s="160"/>
      <c r="C86" s="284"/>
      <c r="D86" s="284"/>
      <c r="E86" s="284"/>
      <c r="F86" s="71"/>
      <c r="G86" s="194"/>
      <c r="H86" s="203"/>
      <c r="I86" s="278"/>
      <c r="J86" s="387"/>
      <c r="K86" s="203"/>
      <c r="L86" s="134"/>
      <c r="M86" s="134"/>
      <c r="N86" s="135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</row>
    <row r="87" spans="1:132" s="1" customFormat="1" ht="39" hidden="1">
      <c r="A87" s="42" t="s">
        <v>55</v>
      </c>
      <c r="B87" s="265" t="s">
        <v>516</v>
      </c>
      <c r="C87" s="23">
        <v>10</v>
      </c>
      <c r="D87" s="23">
        <v>0.2</v>
      </c>
      <c r="E87" s="23">
        <v>52</v>
      </c>
      <c r="F87" s="261">
        <f>D87/C87*E87</f>
        <v>1.04</v>
      </c>
      <c r="G87" s="194"/>
      <c r="H87" s="206">
        <f>F87*G87</f>
        <v>0</v>
      </c>
      <c r="I87" s="278">
        <f>'Исход дан'!D49</f>
        <v>0</v>
      </c>
      <c r="J87" s="387">
        <f>F87*I87</f>
        <v>0</v>
      </c>
      <c r="K87" s="203">
        <f>H87*I87</f>
        <v>0</v>
      </c>
      <c r="L87" s="134"/>
      <c r="M87" s="134"/>
      <c r="N87" s="135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</row>
    <row r="88" spans="1:132" s="1" customFormat="1" ht="28.5" customHeight="1" hidden="1">
      <c r="A88" s="73" t="s">
        <v>49</v>
      </c>
      <c r="B88" s="160"/>
      <c r="C88" s="36"/>
      <c r="D88" s="36"/>
      <c r="E88" s="36"/>
      <c r="F88" s="71"/>
      <c r="G88" s="194"/>
      <c r="H88" s="203"/>
      <c r="I88" s="278"/>
      <c r="J88" s="387"/>
      <c r="K88" s="203"/>
      <c r="L88" s="134"/>
      <c r="M88" s="134"/>
      <c r="N88" s="135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</row>
    <row r="89" spans="1:132" s="1" customFormat="1" ht="39" hidden="1">
      <c r="A89" s="42" t="s">
        <v>145</v>
      </c>
      <c r="B89" s="265" t="s">
        <v>314</v>
      </c>
      <c r="C89" s="23">
        <v>100</v>
      </c>
      <c r="D89" s="23">
        <v>1.5</v>
      </c>
      <c r="E89" s="23">
        <v>12</v>
      </c>
      <c r="F89" s="261">
        <f>D89/C89*E89</f>
        <v>0.18</v>
      </c>
      <c r="G89" s="194"/>
      <c r="H89" s="206">
        <f>F89*G89</f>
        <v>0</v>
      </c>
      <c r="I89" s="278">
        <f>'Исход дан'!D51</f>
        <v>0</v>
      </c>
      <c r="J89" s="387">
        <f>F89*I89</f>
        <v>0</v>
      </c>
      <c r="K89" s="203">
        <f>H89*I89</f>
        <v>0</v>
      </c>
      <c r="L89" s="134"/>
      <c r="M89" s="134"/>
      <c r="N89" s="135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</row>
    <row r="90" spans="1:11" ht="27.75" customHeight="1" hidden="1">
      <c r="A90" s="42" t="s">
        <v>146</v>
      </c>
      <c r="B90" s="265" t="s">
        <v>315</v>
      </c>
      <c r="C90" s="381">
        <v>100</v>
      </c>
      <c r="D90" s="381">
        <v>5.38</v>
      </c>
      <c r="E90" s="381">
        <v>12</v>
      </c>
      <c r="F90" s="260">
        <f>D90/C90*E90</f>
        <v>0.6456</v>
      </c>
      <c r="G90" s="101"/>
      <c r="H90" s="206">
        <f>F90*G90</f>
        <v>0</v>
      </c>
      <c r="I90" s="278">
        <f>'Исход дан'!D51</f>
        <v>0</v>
      </c>
      <c r="J90" s="387">
        <f>F90*I90</f>
        <v>0</v>
      </c>
      <c r="K90" s="203">
        <f>H90*I90</f>
        <v>0</v>
      </c>
    </row>
    <row r="91" spans="1:132" s="1" customFormat="1" ht="25.5" customHeight="1" hidden="1">
      <c r="A91" s="73" t="s">
        <v>50</v>
      </c>
      <c r="B91" s="160"/>
      <c r="C91" s="284"/>
      <c r="D91" s="284"/>
      <c r="E91" s="284"/>
      <c r="F91" s="71"/>
      <c r="G91" s="194"/>
      <c r="H91" s="203"/>
      <c r="I91" s="278"/>
      <c r="J91" s="387"/>
      <c r="K91" s="203"/>
      <c r="L91" s="134"/>
      <c r="M91" s="134"/>
      <c r="N91" s="135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</row>
    <row r="92" spans="1:132" s="1" customFormat="1" ht="26.25" hidden="1">
      <c r="A92" s="42" t="s">
        <v>51</v>
      </c>
      <c r="B92" s="265" t="s">
        <v>345</v>
      </c>
      <c r="C92" s="23">
        <v>10</v>
      </c>
      <c r="D92" s="23">
        <v>1.5</v>
      </c>
      <c r="E92" s="23">
        <v>12</v>
      </c>
      <c r="F92" s="261">
        <f>D92/C92*E92</f>
        <v>1.7999999999999998</v>
      </c>
      <c r="G92" s="194"/>
      <c r="H92" s="206">
        <f>F92*G92</f>
        <v>0</v>
      </c>
      <c r="I92" s="278">
        <f>'Исход дан'!D52</f>
        <v>0</v>
      </c>
      <c r="J92" s="387">
        <f>F92*I92</f>
        <v>0</v>
      </c>
      <c r="K92" s="203">
        <f>H92*I92</f>
        <v>0</v>
      </c>
      <c r="L92" s="134"/>
      <c r="M92" s="134"/>
      <c r="N92" s="135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</row>
    <row r="93" spans="1:11" ht="26.25" hidden="1">
      <c r="A93" s="42" t="s">
        <v>52</v>
      </c>
      <c r="B93" s="265" t="s">
        <v>316</v>
      </c>
      <c r="C93" s="381">
        <v>10</v>
      </c>
      <c r="D93" s="381">
        <v>5.38</v>
      </c>
      <c r="E93" s="381">
        <v>12</v>
      </c>
      <c r="F93" s="261">
        <f>D93/C93*E93</f>
        <v>6.456</v>
      </c>
      <c r="G93" s="101"/>
      <c r="H93" s="206">
        <f>F93*G93</f>
        <v>0</v>
      </c>
      <c r="I93" s="278">
        <f>'Исход дан'!D52</f>
        <v>0</v>
      </c>
      <c r="J93" s="387">
        <f>F93*I93</f>
        <v>0</v>
      </c>
      <c r="K93" s="203">
        <f>H93*I93</f>
        <v>0</v>
      </c>
    </row>
    <row r="94" spans="1:11" ht="12.75">
      <c r="A94" s="47"/>
      <c r="B94" s="159"/>
      <c r="C94" s="266"/>
      <c r="D94" s="266"/>
      <c r="E94" s="266"/>
      <c r="F94" s="37"/>
      <c r="G94" s="102"/>
      <c r="H94" s="203"/>
      <c r="I94" s="264"/>
      <c r="J94" s="391"/>
      <c r="K94" s="203"/>
    </row>
    <row r="95" spans="1:132" s="4" customFormat="1" ht="23.25" customHeight="1" hidden="1">
      <c r="A95" s="75" t="s">
        <v>424</v>
      </c>
      <c r="B95" s="168"/>
      <c r="C95" s="76"/>
      <c r="D95" s="76"/>
      <c r="E95" s="76"/>
      <c r="F95" s="57"/>
      <c r="G95" s="200"/>
      <c r="H95" s="528">
        <f>SUM(H83:H94)</f>
        <v>0</v>
      </c>
      <c r="I95" s="279"/>
      <c r="J95" s="395"/>
      <c r="K95" s="212">
        <f>SUM(K83:K94)</f>
        <v>0</v>
      </c>
      <c r="L95" s="136"/>
      <c r="M95" s="136"/>
      <c r="N95" s="136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  <c r="DW95" s="140"/>
      <c r="DX95" s="140"/>
      <c r="DY95" s="140"/>
      <c r="DZ95" s="140"/>
      <c r="EA95" s="140"/>
      <c r="EB95" s="140"/>
    </row>
    <row r="96" spans="1:132" s="5" customFormat="1" ht="26.25">
      <c r="A96" s="529" t="s">
        <v>406</v>
      </c>
      <c r="B96" s="159" t="s">
        <v>552</v>
      </c>
      <c r="C96" s="77">
        <v>1</v>
      </c>
      <c r="D96" s="77">
        <v>1</v>
      </c>
      <c r="E96" s="77">
        <v>12</v>
      </c>
      <c r="F96" s="77">
        <f>D96*E96</f>
        <v>12</v>
      </c>
      <c r="G96" s="196">
        <v>15</v>
      </c>
      <c r="H96" s="206">
        <f>F96*G96</f>
        <v>180</v>
      </c>
      <c r="I96" s="706">
        <f>'сан содерж'!F11</f>
        <v>0.8210025316455698</v>
      </c>
      <c r="J96" s="530">
        <f>F96*I96</f>
        <v>9.852030379746838</v>
      </c>
      <c r="K96" s="203">
        <f>H96*I96</f>
        <v>147.78045569620255</v>
      </c>
      <c r="L96" s="116"/>
      <c r="M96" s="116"/>
      <c r="N96" s="116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</row>
    <row r="97" spans="1:132" s="5" customFormat="1" ht="39">
      <c r="A97" s="529" t="s">
        <v>407</v>
      </c>
      <c r="B97" s="159" t="s">
        <v>555</v>
      </c>
      <c r="C97" s="77">
        <v>1</v>
      </c>
      <c r="D97" s="77">
        <v>90</v>
      </c>
      <c r="E97" s="77">
        <v>6</v>
      </c>
      <c r="F97" s="261">
        <f>D97*E97</f>
        <v>540</v>
      </c>
      <c r="G97" s="196">
        <v>9</v>
      </c>
      <c r="H97" s="206">
        <f>F97*G97</f>
        <v>4860</v>
      </c>
      <c r="I97" s="706">
        <v>1</v>
      </c>
      <c r="J97" s="530">
        <f>F97*I97</f>
        <v>540</v>
      </c>
      <c r="K97" s="651">
        <f>F97*G97</f>
        <v>4860</v>
      </c>
      <c r="L97" s="116"/>
      <c r="M97" s="116"/>
      <c r="N97" s="116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7"/>
      <c r="DU97" s="137"/>
      <c r="DV97" s="137"/>
      <c r="DW97" s="137"/>
      <c r="DX97" s="137"/>
      <c r="DY97" s="137"/>
      <c r="DZ97" s="137"/>
      <c r="EA97" s="137"/>
      <c r="EB97" s="137"/>
    </row>
    <row r="98" spans="1:132" s="5" customFormat="1" ht="26.25">
      <c r="A98" s="151" t="s">
        <v>408</v>
      </c>
      <c r="B98" s="118" t="s">
        <v>425</v>
      </c>
      <c r="C98" s="32">
        <v>1</v>
      </c>
      <c r="D98" s="32">
        <f>1*'Исход дан'!D38</f>
        <v>2</v>
      </c>
      <c r="E98" s="32">
        <v>6</v>
      </c>
      <c r="F98" s="261">
        <f>D98*E98</f>
        <v>12</v>
      </c>
      <c r="G98" s="100">
        <v>9</v>
      </c>
      <c r="H98" s="206">
        <f>F98*G98</f>
        <v>108</v>
      </c>
      <c r="I98" s="741">
        <v>1</v>
      </c>
      <c r="J98" s="530">
        <f>F98*I98</f>
        <v>12</v>
      </c>
      <c r="K98" s="651">
        <f>F98*G98</f>
        <v>108</v>
      </c>
      <c r="L98" s="116"/>
      <c r="M98" s="116"/>
      <c r="N98" s="116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</row>
    <row r="99" spans="1:132" s="5" customFormat="1" ht="12.75">
      <c r="A99" s="9"/>
      <c r="B99" s="118"/>
      <c r="C99" s="32"/>
      <c r="D99" s="32"/>
      <c r="E99" s="32"/>
      <c r="F99" s="32"/>
      <c r="G99" s="100"/>
      <c r="H99" s="382"/>
      <c r="I99" s="383"/>
      <c r="J99" s="396"/>
      <c r="K99" s="382"/>
      <c r="L99" s="116"/>
      <c r="M99" s="116"/>
      <c r="N99" s="116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</row>
    <row r="100" spans="1:132" s="5" customFormat="1" ht="12.75">
      <c r="A100" s="9" t="s">
        <v>536</v>
      </c>
      <c r="B100" s="118"/>
      <c r="C100" s="11"/>
      <c r="D100" s="11"/>
      <c r="E100" s="11"/>
      <c r="F100" s="11"/>
      <c r="G100" s="193"/>
      <c r="H100" s="382"/>
      <c r="I100" s="383"/>
      <c r="J100" s="396"/>
      <c r="K100" s="382">
        <f>K96+K97+K98</f>
        <v>5115.780455696203</v>
      </c>
      <c r="L100" s="116"/>
      <c r="M100" s="116"/>
      <c r="N100" s="116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</row>
    <row r="101" spans="1:132" s="74" customFormat="1" ht="32.25" customHeight="1" thickBot="1">
      <c r="A101" s="470" t="s">
        <v>56</v>
      </c>
      <c r="B101" s="471"/>
      <c r="C101" s="472"/>
      <c r="D101" s="472"/>
      <c r="E101" s="472"/>
      <c r="F101" s="472"/>
      <c r="G101" s="473"/>
      <c r="H101" s="474">
        <f>H13+H22+H30+H43+H56+H69+H79+H95</f>
        <v>11180.881944444445</v>
      </c>
      <c r="I101" s="475"/>
      <c r="J101" s="473"/>
      <c r="K101" s="474">
        <f>K13+K22+K30+K43+K56+K69+K79+K44+K71+K95+K96+K97+K98</f>
        <v>13725.906450480836</v>
      </c>
      <c r="L101" s="148"/>
      <c r="M101" s="149"/>
      <c r="N101" s="149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50"/>
      <c r="DC101" s="150"/>
      <c r="DD101" s="150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50"/>
      <c r="DP101" s="150"/>
      <c r="DQ101" s="150"/>
      <c r="DR101" s="150"/>
      <c r="DS101" s="150"/>
      <c r="DT101" s="150"/>
      <c r="DU101" s="150"/>
      <c r="DV101" s="150"/>
      <c r="DW101" s="150"/>
      <c r="DX101" s="150"/>
      <c r="DY101" s="150"/>
      <c r="DZ101" s="150"/>
      <c r="EA101" s="150"/>
      <c r="EB101" s="150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70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4">
      <selection activeCell="A43" sqref="A43:J43"/>
    </sheetView>
  </sheetViews>
  <sheetFormatPr defaultColWidth="9.00390625" defaultRowHeight="12.75"/>
  <cols>
    <col min="1" max="1" width="4.50390625" style="0" customWidth="1"/>
    <col min="2" max="2" width="16.50390625" style="0" customWidth="1"/>
    <col min="3" max="3" width="24.375" style="0" customWidth="1"/>
    <col min="4" max="4" width="9.50390625" style="0" customWidth="1"/>
    <col min="5" max="5" width="7.50390625" style="0" customWidth="1"/>
    <col min="6" max="6" width="9.50390625" style="0" bestFit="1" customWidth="1"/>
    <col min="7" max="7" width="10.50390625" style="0" customWidth="1"/>
    <col min="8" max="8" width="10.375" style="0" customWidth="1"/>
    <col min="9" max="9" width="9.875" style="0" customWidth="1"/>
    <col min="10" max="10" width="12.50390625" style="0" customWidth="1"/>
  </cols>
  <sheetData>
    <row r="1" spans="1:10" ht="33" customHeight="1">
      <c r="A1" s="6"/>
      <c r="B1" s="892" t="s">
        <v>499</v>
      </c>
      <c r="C1" s="892"/>
      <c r="D1" s="892"/>
      <c r="E1" s="892"/>
      <c r="F1" s="892"/>
      <c r="G1" s="892"/>
      <c r="H1" s="892"/>
      <c r="I1" s="892"/>
      <c r="J1" s="216"/>
    </row>
    <row r="2" spans="1:13" ht="13.5" thickBot="1">
      <c r="A2" s="3"/>
      <c r="B2" s="29" t="s">
        <v>473</v>
      </c>
      <c r="C2" s="3"/>
      <c r="D2" s="3"/>
      <c r="E2" s="3"/>
      <c r="F2" s="26"/>
      <c r="G2" s="3"/>
      <c r="H2" s="3"/>
      <c r="I2" s="26"/>
      <c r="J2" s="3"/>
      <c r="M2" t="s">
        <v>550</v>
      </c>
    </row>
    <row r="3" spans="1:14" ht="45.75">
      <c r="A3" s="476" t="s">
        <v>108</v>
      </c>
      <c r="B3" s="415" t="s">
        <v>474</v>
      </c>
      <c r="C3" s="415" t="s">
        <v>109</v>
      </c>
      <c r="D3" s="415" t="s">
        <v>110</v>
      </c>
      <c r="E3" s="415" t="s">
        <v>110</v>
      </c>
      <c r="F3" s="415" t="s">
        <v>111</v>
      </c>
      <c r="G3" s="152" t="s">
        <v>114</v>
      </c>
      <c r="H3" s="152" t="s">
        <v>322</v>
      </c>
      <c r="I3" s="477" t="s">
        <v>279</v>
      </c>
      <c r="J3" s="478" t="s">
        <v>308</v>
      </c>
      <c r="M3">
        <v>18150</v>
      </c>
      <c r="N3">
        <v>164.25</v>
      </c>
    </row>
    <row r="4" spans="1:10" ht="27" thickBot="1">
      <c r="A4" s="479"/>
      <c r="B4" s="480"/>
      <c r="C4" s="480"/>
      <c r="D4" s="481"/>
      <c r="E4" s="480" t="s">
        <v>321</v>
      </c>
      <c r="F4" s="482" t="s">
        <v>320</v>
      </c>
      <c r="G4" s="280" t="s">
        <v>319</v>
      </c>
      <c r="H4" s="281" t="s">
        <v>318</v>
      </c>
      <c r="I4" s="483" t="s">
        <v>435</v>
      </c>
      <c r="J4" s="323" t="s">
        <v>323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2">
        <v>9</v>
      </c>
      <c r="J5" s="324">
        <v>10</v>
      </c>
    </row>
    <row r="6" spans="1:10" ht="18" customHeight="1" thickBot="1">
      <c r="A6" s="484"/>
      <c r="B6" s="331"/>
      <c r="C6" s="523" t="s">
        <v>182</v>
      </c>
      <c r="D6" s="485"/>
      <c r="E6" s="331"/>
      <c r="F6" s="331"/>
      <c r="G6" s="485"/>
      <c r="H6" s="486"/>
      <c r="I6" s="487"/>
      <c r="J6" s="488">
        <f>'Исход дан'!D16</f>
        <v>3392.24</v>
      </c>
    </row>
    <row r="7" spans="1:10" ht="51.75" customHeight="1">
      <c r="A7" s="42">
        <v>1</v>
      </c>
      <c r="B7" s="34" t="s">
        <v>476</v>
      </c>
      <c r="C7" s="34" t="s">
        <v>112</v>
      </c>
      <c r="D7" s="34" t="s">
        <v>167</v>
      </c>
      <c r="E7" s="218">
        <v>1</v>
      </c>
      <c r="F7" s="712">
        <f>'Исход дан'!D20</f>
        <v>678.45</v>
      </c>
      <c r="G7" s="218">
        <v>1</v>
      </c>
      <c r="H7" s="420">
        <f>M3/N3*1.302*0.012</f>
        <v>1.7264876712328765</v>
      </c>
      <c r="I7" s="232">
        <f>F7/E7*G7*H7</f>
        <v>1171.335560547945</v>
      </c>
      <c r="J7" s="652">
        <f>I7/J$6/12</f>
        <v>0.02877487934589792</v>
      </c>
    </row>
    <row r="8" spans="1:10" ht="33.75" customHeight="1">
      <c r="A8" s="42">
        <v>2</v>
      </c>
      <c r="B8" s="34" t="s">
        <v>477</v>
      </c>
      <c r="C8" s="34" t="s">
        <v>168</v>
      </c>
      <c r="D8" s="34" t="s">
        <v>167</v>
      </c>
      <c r="E8" s="218">
        <v>1</v>
      </c>
      <c r="F8" s="218">
        <f>'Исход дан'!D19</f>
        <v>1289.34</v>
      </c>
      <c r="G8" s="218">
        <v>1</v>
      </c>
      <c r="H8" s="420">
        <f>18150/N3*1.302*0.012</f>
        <v>1.7264876712328765</v>
      </c>
      <c r="I8" s="232">
        <f aca="true" t="shared" si="0" ref="I8:I20">F8/E8*G8*H8</f>
        <v>2226.0296140273967</v>
      </c>
      <c r="J8" s="652">
        <f aca="true" t="shared" si="1" ref="J8:J20">I8/J$6/12</f>
        <v>0.054684358369577746</v>
      </c>
    </row>
    <row r="9" spans="1:10" ht="33.75" customHeight="1">
      <c r="A9" s="42">
        <v>3</v>
      </c>
      <c r="B9" s="34" t="s">
        <v>478</v>
      </c>
      <c r="C9" s="34" t="s">
        <v>169</v>
      </c>
      <c r="D9" s="34" t="s">
        <v>167</v>
      </c>
      <c r="E9" s="218">
        <v>1</v>
      </c>
      <c r="F9" s="218">
        <f>F8</f>
        <v>1289.34</v>
      </c>
      <c r="G9" s="218">
        <v>1</v>
      </c>
      <c r="H9" s="420">
        <f>18150/N3*1.302*0.012</f>
        <v>1.7264876712328765</v>
      </c>
      <c r="I9" s="232">
        <f t="shared" si="0"/>
        <v>2226.0296140273967</v>
      </c>
      <c r="J9" s="652">
        <f t="shared" si="1"/>
        <v>0.054684358369577746</v>
      </c>
    </row>
    <row r="10" spans="1:10" ht="36" customHeight="1">
      <c r="A10" s="42">
        <v>4</v>
      </c>
      <c r="B10" s="34" t="s">
        <v>479</v>
      </c>
      <c r="C10" s="34" t="s">
        <v>127</v>
      </c>
      <c r="D10" s="34" t="s">
        <v>128</v>
      </c>
      <c r="E10" s="218">
        <v>1</v>
      </c>
      <c r="F10" s="218">
        <f>'Исход дан'!D24</f>
        <v>16</v>
      </c>
      <c r="G10" s="218">
        <v>1</v>
      </c>
      <c r="H10" s="420">
        <f>M3/N3*1.302*0.56</f>
        <v>80.56942465753424</v>
      </c>
      <c r="I10" s="232">
        <f t="shared" si="0"/>
        <v>1289.1107945205479</v>
      </c>
      <c r="J10" s="652">
        <f t="shared" si="1"/>
        <v>0.03166813065802508</v>
      </c>
    </row>
    <row r="11" spans="1:10" ht="66" customHeight="1">
      <c r="A11" s="42">
        <v>5</v>
      </c>
      <c r="B11" s="34" t="s">
        <v>480</v>
      </c>
      <c r="C11" s="34" t="s">
        <v>118</v>
      </c>
      <c r="D11" s="34" t="s">
        <v>117</v>
      </c>
      <c r="E11" s="218">
        <v>1</v>
      </c>
      <c r="F11" s="218">
        <f>'Исход дан'!D25</f>
        <v>0</v>
      </c>
      <c r="G11" s="218">
        <v>1</v>
      </c>
      <c r="H11" s="420"/>
      <c r="I11" s="863">
        <f t="shared" si="0"/>
        <v>0</v>
      </c>
      <c r="J11" s="652">
        <f t="shared" si="1"/>
        <v>0</v>
      </c>
    </row>
    <row r="12" spans="1:10" ht="63" customHeight="1">
      <c r="A12" s="42">
        <v>6</v>
      </c>
      <c r="B12" s="34" t="s">
        <v>481</v>
      </c>
      <c r="C12" s="34" t="s">
        <v>148</v>
      </c>
      <c r="D12" s="34" t="s">
        <v>119</v>
      </c>
      <c r="E12" s="218">
        <v>1</v>
      </c>
      <c r="F12" s="218">
        <f>'Исход дан'!D26</f>
        <v>0</v>
      </c>
      <c r="G12" s="218">
        <v>1</v>
      </c>
      <c r="H12" s="420"/>
      <c r="I12" s="863">
        <f t="shared" si="0"/>
        <v>0</v>
      </c>
      <c r="J12" s="652">
        <f t="shared" si="1"/>
        <v>0</v>
      </c>
    </row>
    <row r="13" spans="1:10" ht="46.5" customHeight="1">
      <c r="A13" s="42">
        <v>7</v>
      </c>
      <c r="B13" s="34" t="s">
        <v>482</v>
      </c>
      <c r="C13" s="34" t="s">
        <v>427</v>
      </c>
      <c r="D13" s="34" t="s">
        <v>119</v>
      </c>
      <c r="E13" s="218">
        <v>1</v>
      </c>
      <c r="F13" s="218">
        <f>'Исход дан'!D27</f>
        <v>0</v>
      </c>
      <c r="G13" s="218">
        <v>1</v>
      </c>
      <c r="H13" s="420"/>
      <c r="I13" s="232">
        <f t="shared" si="0"/>
        <v>0</v>
      </c>
      <c r="J13" s="652">
        <f t="shared" si="1"/>
        <v>0</v>
      </c>
    </row>
    <row r="14" spans="1:10" ht="42" customHeight="1">
      <c r="A14" s="42">
        <v>8</v>
      </c>
      <c r="B14" s="34" t="s">
        <v>483</v>
      </c>
      <c r="C14" s="34" t="s">
        <v>506</v>
      </c>
      <c r="D14" s="34" t="s">
        <v>124</v>
      </c>
      <c r="E14" s="218">
        <v>1</v>
      </c>
      <c r="F14" s="218">
        <f>'Исход дан'!D31</f>
        <v>387</v>
      </c>
      <c r="G14" s="218">
        <v>1</v>
      </c>
      <c r="H14" s="420">
        <f>M3/N3*1.302*0.026</f>
        <v>3.740723287671232</v>
      </c>
      <c r="I14" s="749">
        <f t="shared" si="0"/>
        <v>1447.659912328767</v>
      </c>
      <c r="J14" s="750">
        <f t="shared" si="1"/>
        <v>0.03556302797779557</v>
      </c>
    </row>
    <row r="15" spans="1:10" ht="34.5" customHeight="1">
      <c r="A15" s="42">
        <v>9</v>
      </c>
      <c r="B15" s="34" t="s">
        <v>484</v>
      </c>
      <c r="C15" s="34" t="s">
        <v>125</v>
      </c>
      <c r="D15" s="34" t="s">
        <v>126</v>
      </c>
      <c r="E15" s="218">
        <v>100</v>
      </c>
      <c r="F15" s="218">
        <f>'Исход дан'!D23</f>
        <v>19900</v>
      </c>
      <c r="G15" s="218">
        <v>1</v>
      </c>
      <c r="H15" s="420">
        <f>M3/N3*1.302*0.87</f>
        <v>125.17035616438355</v>
      </c>
      <c r="I15" s="749">
        <f t="shared" si="0"/>
        <v>24908.900876712327</v>
      </c>
      <c r="J15" s="750">
        <f t="shared" si="1"/>
        <v>0.6119088683955226</v>
      </c>
    </row>
    <row r="16" spans="1:10" ht="46.5" customHeight="1">
      <c r="A16" s="42">
        <v>10</v>
      </c>
      <c r="B16" s="34" t="s">
        <v>485</v>
      </c>
      <c r="C16" s="34" t="s">
        <v>129</v>
      </c>
      <c r="D16" s="34" t="s">
        <v>130</v>
      </c>
      <c r="E16" s="218">
        <v>100</v>
      </c>
      <c r="F16" s="218">
        <f>'Исход дан'!D28</f>
        <v>1624.8</v>
      </c>
      <c r="G16" s="218">
        <v>1</v>
      </c>
      <c r="H16" s="420">
        <f>M3/N3*1.302*(3.3+3.1+1.3+0.12)</f>
        <v>1125.0944657534246</v>
      </c>
      <c r="I16" s="863">
        <f t="shared" si="0"/>
        <v>18280.534879561645</v>
      </c>
      <c r="J16" s="750">
        <f t="shared" si="1"/>
        <v>0.449077278326456</v>
      </c>
    </row>
    <row r="17" spans="1:10" ht="55.5" customHeight="1">
      <c r="A17" s="42">
        <v>11</v>
      </c>
      <c r="B17" s="34" t="s">
        <v>486</v>
      </c>
      <c r="C17" s="34" t="s">
        <v>123</v>
      </c>
      <c r="D17" s="34" t="s">
        <v>122</v>
      </c>
      <c r="E17" s="218">
        <v>1</v>
      </c>
      <c r="F17" s="218">
        <f>'Исход дан'!D30</f>
        <v>13</v>
      </c>
      <c r="G17" s="218">
        <v>1</v>
      </c>
      <c r="H17" s="420">
        <f>M3/N3*1.302*4.1</f>
        <v>589.8832876712328</v>
      </c>
      <c r="I17" s="232">
        <f t="shared" si="0"/>
        <v>7668.482739726026</v>
      </c>
      <c r="J17" s="652">
        <f t="shared" si="1"/>
        <v>0.18838296474026076</v>
      </c>
    </row>
    <row r="18" spans="1:10" ht="56.25" customHeight="1">
      <c r="A18" s="42">
        <v>12</v>
      </c>
      <c r="B18" s="34" t="s">
        <v>487</v>
      </c>
      <c r="C18" s="34" t="s">
        <v>115</v>
      </c>
      <c r="D18" s="34" t="s">
        <v>116</v>
      </c>
      <c r="E18" s="218">
        <v>1</v>
      </c>
      <c r="F18" s="713">
        <f>'Исход дан'!D29</f>
        <v>29.033333333333335</v>
      </c>
      <c r="G18" s="218">
        <v>2</v>
      </c>
      <c r="H18" s="420">
        <f>M3/N3*1.302*0.58</f>
        <v>83.44690410958903</v>
      </c>
      <c r="I18" s="232">
        <f t="shared" si="0"/>
        <v>4845.483565296803</v>
      </c>
      <c r="J18" s="652">
        <f t="shared" si="1"/>
        <v>0.11903352861474038</v>
      </c>
    </row>
    <row r="19" spans="1:10" ht="29.25" customHeight="1">
      <c r="A19" s="42">
        <v>13</v>
      </c>
      <c r="B19" s="34" t="s">
        <v>488</v>
      </c>
      <c r="C19" s="34" t="s">
        <v>120</v>
      </c>
      <c r="D19" s="34" t="s">
        <v>121</v>
      </c>
      <c r="E19" s="218">
        <v>1</v>
      </c>
      <c r="F19" s="218">
        <f>'Исход дан'!D32</f>
        <v>19</v>
      </c>
      <c r="G19" s="218">
        <v>1</v>
      </c>
      <c r="H19" s="420">
        <f>18150/N3*1.302*3.24</f>
        <v>466.1516712328767</v>
      </c>
      <c r="I19" s="232">
        <v>2834.17</v>
      </c>
      <c r="J19" s="652">
        <f t="shared" si="1"/>
        <v>0.06962385719563868</v>
      </c>
    </row>
    <row r="20" spans="1:12" ht="30.75" customHeight="1">
      <c r="A20" s="42">
        <v>14</v>
      </c>
      <c r="B20" s="34" t="s">
        <v>488</v>
      </c>
      <c r="C20" s="34" t="s">
        <v>149</v>
      </c>
      <c r="D20" s="34" t="s">
        <v>121</v>
      </c>
      <c r="E20" s="218">
        <v>1</v>
      </c>
      <c r="F20" s="218">
        <f>'Исход дан'!D33</f>
        <v>1</v>
      </c>
      <c r="G20" s="218">
        <v>1</v>
      </c>
      <c r="H20" s="420">
        <f>18150/N3*1.302*3.24</f>
        <v>466.1516712328767</v>
      </c>
      <c r="I20" s="232">
        <f t="shared" si="0"/>
        <v>466.1516712328767</v>
      </c>
      <c r="J20" s="652">
        <f t="shared" si="1"/>
        <v>0.011451422246875141</v>
      </c>
      <c r="L20">
        <v>10890</v>
      </c>
    </row>
    <row r="21" spans="1:10" ht="21.75" customHeight="1">
      <c r="A21" s="42">
        <v>15</v>
      </c>
      <c r="B21" s="34"/>
      <c r="C21" s="34" t="s">
        <v>402</v>
      </c>
      <c r="D21" s="34"/>
      <c r="E21" s="218"/>
      <c r="F21" s="218"/>
      <c r="G21" s="218"/>
      <c r="H21" s="218"/>
      <c r="I21" s="232"/>
      <c r="J21" s="652"/>
    </row>
    <row r="22" spans="1:10" ht="12.75">
      <c r="A22" s="42">
        <v>16</v>
      </c>
      <c r="B22" s="34"/>
      <c r="C22" s="34"/>
      <c r="D22" s="34"/>
      <c r="E22" s="34"/>
      <c r="F22" s="34"/>
      <c r="G22" s="34"/>
      <c r="H22" s="34"/>
      <c r="I22" s="232"/>
      <c r="J22" s="48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2"/>
      <c r="J23" s="489"/>
    </row>
    <row r="24" spans="1:10" ht="26.25" customHeight="1">
      <c r="A24" s="708">
        <v>18</v>
      </c>
      <c r="B24" s="709" t="s">
        <v>495</v>
      </c>
      <c r="C24" s="709"/>
      <c r="D24" s="709"/>
      <c r="E24" s="709"/>
      <c r="F24" s="709"/>
      <c r="G24" s="709"/>
      <c r="H24" s="709"/>
      <c r="I24" s="710">
        <f>SUM(I7:I23)</f>
        <v>67363.88922798172</v>
      </c>
      <c r="J24" s="711">
        <f>I24/J6/12</f>
        <v>1.6548526742403675</v>
      </c>
    </row>
    <row r="25" spans="1:10" ht="12.75">
      <c r="A25" s="490"/>
      <c r="B25" s="491"/>
      <c r="C25" s="492"/>
      <c r="D25" s="492"/>
      <c r="E25" s="492"/>
      <c r="F25" s="492"/>
      <c r="G25" s="492"/>
      <c r="H25" s="493"/>
      <c r="I25" s="494"/>
      <c r="J25" s="489"/>
    </row>
    <row r="26" spans="1:10" ht="18" customHeight="1">
      <c r="A26" s="42"/>
      <c r="B26" s="495"/>
      <c r="C26" s="524" t="s">
        <v>475</v>
      </c>
      <c r="D26" s="34"/>
      <c r="E26" s="34"/>
      <c r="F26" s="34"/>
      <c r="G26" s="34"/>
      <c r="H26" s="34"/>
      <c r="I26" s="232"/>
      <c r="J26" s="489"/>
    </row>
    <row r="27" spans="1:10" ht="22.5" customHeight="1">
      <c r="A27" s="42"/>
      <c r="B27" s="495"/>
      <c r="C27" s="34" t="s">
        <v>131</v>
      </c>
      <c r="D27" s="34"/>
      <c r="E27" s="34"/>
      <c r="F27" s="34"/>
      <c r="G27" s="34"/>
      <c r="H27" s="34"/>
      <c r="I27" s="232"/>
      <c r="J27" s="489"/>
    </row>
    <row r="28" spans="1:10" ht="53.25" customHeight="1">
      <c r="A28" s="42">
        <v>1</v>
      </c>
      <c r="B28" s="34" t="s">
        <v>489</v>
      </c>
      <c r="C28" s="34" t="s">
        <v>278</v>
      </c>
      <c r="D28" s="34" t="s">
        <v>133</v>
      </c>
      <c r="E28" s="218">
        <v>1000</v>
      </c>
      <c r="F28" s="712">
        <f>'Исход дан'!D16</f>
        <v>3392.24</v>
      </c>
      <c r="G28" s="218">
        <v>1</v>
      </c>
      <c r="H28" s="420">
        <f>M3/N3*1.302*10</f>
        <v>1438.7397260273972</v>
      </c>
      <c r="I28" s="232">
        <f>F28/E28*G28*H28</f>
        <v>4880.550448219177</v>
      </c>
      <c r="J28" s="750">
        <f>I28/J$6/12</f>
        <v>0.11989497716894976</v>
      </c>
    </row>
    <row r="29" spans="1:10" ht="66" customHeight="1">
      <c r="A29" s="42">
        <v>2</v>
      </c>
      <c r="B29" s="34" t="s">
        <v>490</v>
      </c>
      <c r="C29" s="34" t="s">
        <v>356</v>
      </c>
      <c r="D29" s="34" t="s">
        <v>132</v>
      </c>
      <c r="E29" s="218">
        <v>1000</v>
      </c>
      <c r="F29" s="218">
        <f>'Исход дан'!D22</f>
        <v>678.45</v>
      </c>
      <c r="G29" s="218">
        <v>7</v>
      </c>
      <c r="H29" s="420">
        <f>M3/N3*1.302*4</f>
        <v>575.4958904109589</v>
      </c>
      <c r="I29" s="232">
        <f>F29/E29*G29*H29</f>
        <v>2733.1163079452053</v>
      </c>
      <c r="J29" s="750">
        <f aca="true" t="shared" si="2" ref="J29:J38">I29/J$6/12</f>
        <v>0.06714138514042849</v>
      </c>
    </row>
    <row r="30" spans="1:10" ht="67.5" customHeight="1">
      <c r="A30" s="42">
        <v>2</v>
      </c>
      <c r="B30" s="34" t="s">
        <v>490</v>
      </c>
      <c r="C30" s="34" t="s">
        <v>357</v>
      </c>
      <c r="D30" s="34" t="s">
        <v>132</v>
      </c>
      <c r="E30" s="218">
        <v>1000</v>
      </c>
      <c r="F30" s="218">
        <f>'Исход дан'!D22</f>
        <v>678.45</v>
      </c>
      <c r="G30" s="218">
        <v>1</v>
      </c>
      <c r="H30" s="420">
        <f>M3/N3*1.302*4</f>
        <v>575.4958904109589</v>
      </c>
      <c r="I30" s="232">
        <f aca="true" t="shared" si="3" ref="I30:I37">F30/E30*G30*H30</f>
        <v>390.445186849315</v>
      </c>
      <c r="J30" s="750">
        <f t="shared" si="2"/>
        <v>0.009591626448632639</v>
      </c>
    </row>
    <row r="31" spans="1:10" ht="54" customHeight="1">
      <c r="A31" s="42">
        <v>3</v>
      </c>
      <c r="B31" s="34" t="s">
        <v>491</v>
      </c>
      <c r="C31" s="34" t="s">
        <v>472</v>
      </c>
      <c r="D31" s="751" t="s">
        <v>551</v>
      </c>
      <c r="E31" s="218">
        <v>100</v>
      </c>
      <c r="F31" s="218">
        <f>'Исход дан'!D10</f>
        <v>72</v>
      </c>
      <c r="G31" s="218">
        <v>1</v>
      </c>
      <c r="H31" s="420">
        <f>M3/N3*1.302*60/100</f>
        <v>86.32438356164383</v>
      </c>
      <c r="I31" s="752">
        <f>F31/E31*G31*H31</f>
        <v>62.15355616438355</v>
      </c>
      <c r="J31" s="753">
        <f t="shared" si="2"/>
        <v>0.0015268562995833519</v>
      </c>
    </row>
    <row r="32" spans="1:10" ht="57" customHeight="1">
      <c r="A32" s="42">
        <v>4</v>
      </c>
      <c r="B32" s="34" t="s">
        <v>492</v>
      </c>
      <c r="C32" s="34" t="s">
        <v>358</v>
      </c>
      <c r="D32" s="34" t="s">
        <v>132</v>
      </c>
      <c r="E32" s="713">
        <v>1000</v>
      </c>
      <c r="F32" s="218">
        <f>'Исход дан'!D22</f>
        <v>678.45</v>
      </c>
      <c r="G32" s="218">
        <v>12</v>
      </c>
      <c r="H32" s="420">
        <f>M3/N3*1.302*4</f>
        <v>575.4958904109589</v>
      </c>
      <c r="I32" s="232">
        <f t="shared" si="3"/>
        <v>4685.342242191781</v>
      </c>
      <c r="J32" s="652">
        <f t="shared" si="2"/>
        <v>0.1150995173835917</v>
      </c>
    </row>
    <row r="33" spans="1:10" ht="40.5" customHeight="1">
      <c r="A33" s="42">
        <v>5</v>
      </c>
      <c r="B33" s="34" t="s">
        <v>492</v>
      </c>
      <c r="C33" s="34" t="s">
        <v>351</v>
      </c>
      <c r="D33" s="34" t="s">
        <v>132</v>
      </c>
      <c r="E33" s="713">
        <v>1000</v>
      </c>
      <c r="F33" s="218">
        <f>'Исход дан'!D20</f>
        <v>678.45</v>
      </c>
      <c r="G33" s="218">
        <v>12</v>
      </c>
      <c r="H33" s="420">
        <f>M3/N3*1.302*4</f>
        <v>575.4958904109589</v>
      </c>
      <c r="I33" s="232">
        <f t="shared" si="3"/>
        <v>4685.342242191781</v>
      </c>
      <c r="J33" s="652">
        <f t="shared" si="2"/>
        <v>0.1150995173835917</v>
      </c>
    </row>
    <row r="34" spans="1:10" ht="69" customHeight="1">
      <c r="A34" s="42">
        <v>6</v>
      </c>
      <c r="B34" s="34" t="s">
        <v>493</v>
      </c>
      <c r="C34" s="34" t="s">
        <v>134</v>
      </c>
      <c r="D34" s="34" t="s">
        <v>135</v>
      </c>
      <c r="E34" s="218">
        <v>100</v>
      </c>
      <c r="F34" s="769">
        <v>20</v>
      </c>
      <c r="G34" s="218">
        <v>4</v>
      </c>
      <c r="H34" s="420">
        <f>18150/N3*1.302*9</f>
        <v>1294.8657534246574</v>
      </c>
      <c r="I34" s="232">
        <f t="shared" si="3"/>
        <v>1035.892602739726</v>
      </c>
      <c r="J34" s="652">
        <f t="shared" si="2"/>
        <v>0.02544760499305587</v>
      </c>
    </row>
    <row r="35" spans="1:10" ht="66" customHeight="1">
      <c r="A35" s="42">
        <v>7</v>
      </c>
      <c r="B35" s="34" t="s">
        <v>494</v>
      </c>
      <c r="C35" s="34" t="s">
        <v>136</v>
      </c>
      <c r="D35" s="34" t="s">
        <v>137</v>
      </c>
      <c r="E35" s="218">
        <v>1</v>
      </c>
      <c r="F35" s="769">
        <v>0</v>
      </c>
      <c r="G35" s="218">
        <v>12</v>
      </c>
      <c r="H35" s="420">
        <f>18150/N3*1.302*0.5</f>
        <v>71.93698630136986</v>
      </c>
      <c r="I35" s="232">
        <f t="shared" si="3"/>
        <v>0</v>
      </c>
      <c r="J35" s="652">
        <f t="shared" si="2"/>
        <v>0</v>
      </c>
    </row>
    <row r="36" spans="1:10" ht="66.75" customHeight="1">
      <c r="A36" s="42">
        <v>8</v>
      </c>
      <c r="B36" s="34" t="s">
        <v>521</v>
      </c>
      <c r="C36" s="34" t="s">
        <v>411</v>
      </c>
      <c r="D36" s="34" t="s">
        <v>139</v>
      </c>
      <c r="E36" s="218">
        <v>1000</v>
      </c>
      <c r="F36" s="712">
        <f>'Исход дан'!D17</f>
        <v>3007.1</v>
      </c>
      <c r="G36" s="218">
        <v>4</v>
      </c>
      <c r="H36" s="420">
        <f>18150/N3*1.302*8</f>
        <v>1150.9917808219177</v>
      </c>
      <c r="I36" s="232">
        <v>0</v>
      </c>
      <c r="J36" s="652">
        <f t="shared" si="2"/>
        <v>0</v>
      </c>
    </row>
    <row r="37" spans="1:10" ht="66" customHeight="1">
      <c r="A37" s="42">
        <v>9</v>
      </c>
      <c r="B37" s="34" t="s">
        <v>521</v>
      </c>
      <c r="C37" s="34" t="s">
        <v>138</v>
      </c>
      <c r="D37" s="34" t="s">
        <v>139</v>
      </c>
      <c r="E37" s="218">
        <v>1000</v>
      </c>
      <c r="F37" s="218">
        <f>'Исход дан'!D22</f>
        <v>678.45</v>
      </c>
      <c r="G37" s="218">
        <v>4</v>
      </c>
      <c r="H37" s="420">
        <f>18150/N3*1.302*8</f>
        <v>1150.9917808219177</v>
      </c>
      <c r="I37" s="232">
        <f t="shared" si="3"/>
        <v>3123.56149479452</v>
      </c>
      <c r="J37" s="652">
        <f t="shared" si="2"/>
        <v>0.07673301158906111</v>
      </c>
    </row>
    <row r="38" spans="1:10" ht="28.5" customHeight="1">
      <c r="A38" s="708">
        <v>10</v>
      </c>
      <c r="B38" s="709" t="s">
        <v>140</v>
      </c>
      <c r="C38" s="709"/>
      <c r="D38" s="709"/>
      <c r="E38" s="709"/>
      <c r="F38" s="709"/>
      <c r="G38" s="709"/>
      <c r="H38" s="709"/>
      <c r="I38" s="710">
        <f>SUM(I28:I37)</f>
        <v>21596.40408109589</v>
      </c>
      <c r="J38" s="711">
        <f t="shared" si="2"/>
        <v>0.5305344964068947</v>
      </c>
    </row>
    <row r="39" spans="1:10" ht="12.75">
      <c r="A39" s="490"/>
      <c r="B39" s="491"/>
      <c r="C39" s="491"/>
      <c r="D39" s="491"/>
      <c r="E39" s="491"/>
      <c r="F39" s="491"/>
      <c r="G39" s="491"/>
      <c r="H39" s="491"/>
      <c r="I39" s="496"/>
      <c r="J39" s="489"/>
    </row>
    <row r="40" spans="1:10" ht="12.75">
      <c r="A40" s="16"/>
      <c r="B40" s="9" t="s">
        <v>141</v>
      </c>
      <c r="C40" s="9"/>
      <c r="D40" s="9"/>
      <c r="E40" s="9"/>
      <c r="F40" s="9"/>
      <c r="G40" s="9"/>
      <c r="H40" s="9"/>
      <c r="I40" s="109">
        <f>I24+I38</f>
        <v>88960.29330907762</v>
      </c>
      <c r="J40" s="325">
        <f>I40/J6/12</f>
        <v>2.1853871706472625</v>
      </c>
    </row>
    <row r="41" spans="1:10" ht="13.5" thickBot="1">
      <c r="A41" s="497"/>
      <c r="B41" s="498"/>
      <c r="C41" s="498"/>
      <c r="D41" s="498"/>
      <c r="E41" s="498"/>
      <c r="F41" s="498"/>
      <c r="G41" s="498"/>
      <c r="H41" s="498"/>
      <c r="I41" s="499"/>
      <c r="J41" s="500"/>
    </row>
    <row r="42" spans="1:10" ht="12.75">
      <c r="A42" s="501"/>
      <c r="B42" s="501"/>
      <c r="C42" s="501"/>
      <c r="D42" s="501"/>
      <c r="E42" s="501"/>
      <c r="F42" s="501"/>
      <c r="G42" s="501"/>
      <c r="H42" s="501"/>
      <c r="I42" s="501"/>
      <c r="J42" s="501"/>
    </row>
    <row r="43" spans="1:10" ht="25.5" customHeight="1">
      <c r="A43" s="893" t="s">
        <v>557</v>
      </c>
      <c r="B43" s="893"/>
      <c r="C43" s="893"/>
      <c r="D43" s="893"/>
      <c r="E43" s="893"/>
      <c r="F43" s="893"/>
      <c r="G43" s="893"/>
      <c r="H43" s="893"/>
      <c r="I43" s="893"/>
      <c r="J43" s="893"/>
    </row>
  </sheetData>
  <sheetProtection/>
  <mergeCells count="2">
    <mergeCell ref="B1:I1"/>
    <mergeCell ref="A43:J43"/>
  </mergeCells>
  <printOptions/>
  <pageMargins left="0.64" right="0.37" top="0.48" bottom="0.36" header="0.5" footer="0.42"/>
  <pageSetup horizontalDpi="600" verticalDpi="600" orientation="portrait" paperSize="9" scale="82" r:id="rId1"/>
  <rowBreaks count="1" manualBreakCount="1">
    <brk id="2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60" zoomScalePageLayoutView="0" workbookViewId="0" topLeftCell="A1">
      <pane xSplit="2" ySplit="5" topLeftCell="C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U21" sqref="U21"/>
    </sheetView>
  </sheetViews>
  <sheetFormatPr defaultColWidth="9.00390625" defaultRowHeight="12.75"/>
  <cols>
    <col min="1" max="1" width="3.875" style="112" customWidth="1"/>
    <col min="2" max="2" width="24.875" style="0" customWidth="1"/>
    <col min="3" max="3" width="16.00390625" style="3" customWidth="1"/>
    <col min="4" max="4" width="10.125" style="3" bestFit="1" customWidth="1"/>
    <col min="5" max="5" width="10.375" style="3" customWidth="1"/>
    <col min="6" max="6" width="9.375" style="3" bestFit="1" customWidth="1"/>
    <col min="7" max="7" width="8.00390625" style="3" customWidth="1"/>
    <col min="8" max="8" width="12.875" style="3" customWidth="1"/>
    <col min="9" max="9" width="11.375" style="3" hidden="1" customWidth="1"/>
    <col min="10" max="10" width="0" style="153" hidden="1" customWidth="1"/>
    <col min="11" max="11" width="0" style="3" hidden="1" customWidth="1"/>
    <col min="12" max="12" width="0" style="153" hidden="1" customWidth="1"/>
    <col min="13" max="13" width="0" style="0" hidden="1" customWidth="1"/>
    <col min="14" max="14" width="9.625" style="3" customWidth="1"/>
    <col min="15" max="15" width="12.00390625" style="3" customWidth="1"/>
    <col min="16" max="16" width="13.50390625" style="0" bestFit="1" customWidth="1"/>
    <col min="17" max="17" width="10.875" style="0" bestFit="1" customWidth="1"/>
  </cols>
  <sheetData>
    <row r="1" spans="2:15" ht="17.25" customHeight="1">
      <c r="B1" s="898" t="s">
        <v>502</v>
      </c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</row>
    <row r="2" spans="1:15" ht="15.75" thickBot="1">
      <c r="A2" s="111"/>
      <c r="B2" s="129" t="s">
        <v>501</v>
      </c>
      <c r="H2" s="240"/>
      <c r="O2" s="399"/>
    </row>
    <row r="3" spans="1:15" s="2" customFormat="1" ht="78.75" customHeight="1">
      <c r="A3" s="237"/>
      <c r="B3" s="238" t="s">
        <v>0</v>
      </c>
      <c r="C3" s="15" t="s">
        <v>87</v>
      </c>
      <c r="D3" s="15" t="s">
        <v>153</v>
      </c>
      <c r="E3" s="15" t="s">
        <v>350</v>
      </c>
      <c r="F3" s="15" t="s">
        <v>152</v>
      </c>
      <c r="G3" s="217" t="s">
        <v>517</v>
      </c>
      <c r="H3" s="292" t="s">
        <v>327</v>
      </c>
      <c r="I3" s="896" t="s">
        <v>156</v>
      </c>
      <c r="J3" s="897"/>
      <c r="K3" s="897"/>
      <c r="L3" s="897"/>
      <c r="M3" s="217"/>
      <c r="N3" s="400" t="s">
        <v>190</v>
      </c>
      <c r="O3" s="894" t="s">
        <v>179</v>
      </c>
    </row>
    <row r="4" spans="1:15" s="2" customFormat="1" ht="28.5" customHeight="1" thickBot="1">
      <c r="A4" s="244"/>
      <c r="B4" s="286"/>
      <c r="C4" s="12"/>
      <c r="D4" s="12"/>
      <c r="E4" s="291" t="s">
        <v>319</v>
      </c>
      <c r="F4" s="291" t="s">
        <v>324</v>
      </c>
      <c r="G4" s="405" t="s">
        <v>319</v>
      </c>
      <c r="H4" s="406" t="s">
        <v>326</v>
      </c>
      <c r="I4" s="287"/>
      <c r="J4" s="288"/>
      <c r="K4" s="288"/>
      <c r="L4" s="288"/>
      <c r="M4" s="215"/>
      <c r="N4" s="296" t="s">
        <v>348</v>
      </c>
      <c r="O4" s="895"/>
    </row>
    <row r="5" spans="1:15" s="239" customFormat="1" ht="14.25" customHeight="1" thickBot="1">
      <c r="A5" s="285" t="s">
        <v>88</v>
      </c>
      <c r="B5" s="290" t="s">
        <v>191</v>
      </c>
      <c r="C5" s="290" t="s">
        <v>89</v>
      </c>
      <c r="D5" s="285" t="s">
        <v>73</v>
      </c>
      <c r="E5" s="290" t="s">
        <v>74</v>
      </c>
      <c r="F5" s="290" t="s">
        <v>75</v>
      </c>
      <c r="G5" s="407" t="s">
        <v>76</v>
      </c>
      <c r="H5" s="409" t="s">
        <v>77</v>
      </c>
      <c r="I5" s="408" t="s">
        <v>78</v>
      </c>
      <c r="J5" s="285" t="s">
        <v>79</v>
      </c>
      <c r="K5" s="290" t="s">
        <v>80</v>
      </c>
      <c r="L5" s="290" t="s">
        <v>81</v>
      </c>
      <c r="M5" s="285" t="s">
        <v>82</v>
      </c>
      <c r="N5" s="410" t="s">
        <v>78</v>
      </c>
      <c r="O5" s="409" t="s">
        <v>79</v>
      </c>
    </row>
    <row r="6" spans="1:15" s="21" customFormat="1" ht="18.75" customHeight="1">
      <c r="A6" s="122" t="s">
        <v>191</v>
      </c>
      <c r="B6" s="531" t="s">
        <v>86</v>
      </c>
      <c r="C6" s="532"/>
      <c r="D6" s="532"/>
      <c r="E6" s="533"/>
      <c r="F6" s="532"/>
      <c r="G6" s="534"/>
      <c r="H6" s="535"/>
      <c r="I6" s="536"/>
      <c r="J6" s="537"/>
      <c r="K6" s="538"/>
      <c r="L6" s="539"/>
      <c r="M6" s="540"/>
      <c r="N6" s="541"/>
      <c r="O6" s="542"/>
    </row>
    <row r="7" spans="1:15" s="115" customFormat="1" ht="32.25" customHeight="1">
      <c r="A7" s="119" t="s">
        <v>89</v>
      </c>
      <c r="B7" s="347" t="s">
        <v>1</v>
      </c>
      <c r="C7" s="543"/>
      <c r="D7" s="543"/>
      <c r="E7" s="714" t="s">
        <v>337</v>
      </c>
      <c r="F7" s="714" t="s">
        <v>337</v>
      </c>
      <c r="G7" s="714" t="s">
        <v>337</v>
      </c>
      <c r="H7" s="733">
        <f>'сан содерж'!G19</f>
        <v>109868.71684860763</v>
      </c>
      <c r="I7" s="543" t="s">
        <v>337</v>
      </c>
      <c r="J7" s="543" t="s">
        <v>337</v>
      </c>
      <c r="K7" s="543" t="s">
        <v>337</v>
      </c>
      <c r="L7" s="543" t="s">
        <v>337</v>
      </c>
      <c r="M7" s="543" t="s">
        <v>337</v>
      </c>
      <c r="N7" s="543">
        <f>'Исход дан'!D$16</f>
        <v>3392.24</v>
      </c>
      <c r="O7" s="660">
        <f>ROUND(H7/N7/12,2)</f>
        <v>2.7</v>
      </c>
    </row>
    <row r="8" spans="1:15" s="115" customFormat="1" ht="33" customHeight="1">
      <c r="A8" s="119" t="s">
        <v>73</v>
      </c>
      <c r="B8" s="347" t="s">
        <v>181</v>
      </c>
      <c r="C8" s="543"/>
      <c r="D8" s="543"/>
      <c r="E8" s="714" t="s">
        <v>337</v>
      </c>
      <c r="F8" s="714" t="s">
        <v>337</v>
      </c>
      <c r="G8" s="714" t="s">
        <v>337</v>
      </c>
      <c r="H8" s="581">
        <f>'сан содерж'!G42</f>
        <v>128364.87550943681</v>
      </c>
      <c r="I8" s="543" t="s">
        <v>337</v>
      </c>
      <c r="J8" s="543" t="s">
        <v>337</v>
      </c>
      <c r="K8" s="543" t="s">
        <v>337</v>
      </c>
      <c r="L8" s="543" t="s">
        <v>337</v>
      </c>
      <c r="M8" s="543" t="s">
        <v>337</v>
      </c>
      <c r="N8" s="543">
        <f>'Исход дан'!D$16</f>
        <v>3392.24</v>
      </c>
      <c r="O8" s="660">
        <f>ROUND(H8/N8/12,2)</f>
        <v>3.15</v>
      </c>
    </row>
    <row r="9" spans="1:15" s="115" customFormat="1" ht="21.75" customHeight="1">
      <c r="A9" s="119" t="s">
        <v>74</v>
      </c>
      <c r="B9" s="347" t="s">
        <v>180</v>
      </c>
      <c r="C9" s="543"/>
      <c r="D9" s="543"/>
      <c r="E9" s="714" t="s">
        <v>337</v>
      </c>
      <c r="F9" s="714" t="s">
        <v>337</v>
      </c>
      <c r="G9" s="714" t="s">
        <v>337</v>
      </c>
      <c r="H9" s="581">
        <f>'сан содерж'!G54</f>
        <v>0</v>
      </c>
      <c r="I9" s="543" t="s">
        <v>337</v>
      </c>
      <c r="J9" s="543" t="s">
        <v>337</v>
      </c>
      <c r="K9" s="543" t="s">
        <v>337</v>
      </c>
      <c r="L9" s="543" t="s">
        <v>337</v>
      </c>
      <c r="M9" s="543" t="s">
        <v>337</v>
      </c>
      <c r="N9" s="543">
        <f>'Исход дан'!D$16</f>
        <v>3392.24</v>
      </c>
      <c r="O9" s="660">
        <f>ROUND(H9/N9/12,2)</f>
        <v>0</v>
      </c>
    </row>
    <row r="10" spans="1:15" s="115" customFormat="1" ht="40.5" customHeight="1" thickBot="1">
      <c r="A10" s="122" t="s">
        <v>75</v>
      </c>
      <c r="B10" s="397" t="s">
        <v>412</v>
      </c>
      <c r="C10" s="544"/>
      <c r="D10" s="543"/>
      <c r="E10" s="714" t="s">
        <v>337</v>
      </c>
      <c r="F10" s="714" t="s">
        <v>337</v>
      </c>
      <c r="G10" s="714" t="s">
        <v>337</v>
      </c>
      <c r="H10" s="581">
        <f>'сан содерж'!G59</f>
        <v>5115.780455696203</v>
      </c>
      <c r="I10" s="543" t="s">
        <v>337</v>
      </c>
      <c r="J10" s="543" t="s">
        <v>337</v>
      </c>
      <c r="K10" s="543" t="s">
        <v>337</v>
      </c>
      <c r="L10" s="543" t="s">
        <v>337</v>
      </c>
      <c r="M10" s="543" t="s">
        <v>337</v>
      </c>
      <c r="N10" s="544">
        <f>'Исход дан'!D$16</f>
        <v>3392.24</v>
      </c>
      <c r="O10" s="662">
        <f>ROUND(H10/N10/12,2)</f>
        <v>0.13</v>
      </c>
    </row>
    <row r="11" spans="1:17" s="1" customFormat="1" ht="30" customHeight="1" thickBot="1">
      <c r="A11" s="119" t="s">
        <v>76</v>
      </c>
      <c r="B11" s="545" t="s">
        <v>151</v>
      </c>
      <c r="C11" s="546"/>
      <c r="D11" s="546"/>
      <c r="E11" s="546"/>
      <c r="F11" s="546"/>
      <c r="G11" s="547"/>
      <c r="H11" s="552">
        <f>SUM(H7:H10)</f>
        <v>243349.37281374063</v>
      </c>
      <c r="I11" s="548"/>
      <c r="J11" s="549"/>
      <c r="K11" s="549"/>
      <c r="L11" s="549"/>
      <c r="M11" s="550"/>
      <c r="N11" s="551">
        <f>'Исход дан'!D$16</f>
        <v>3392.24</v>
      </c>
      <c r="O11" s="735">
        <f>ROUND(H11/N11/12,2)</f>
        <v>5.98</v>
      </c>
      <c r="Q11" s="760"/>
    </row>
    <row r="12" spans="1:15" s="4" customFormat="1" ht="15" customHeight="1">
      <c r="A12" s="119" t="s">
        <v>77</v>
      </c>
      <c r="B12" s="553" t="s">
        <v>176</v>
      </c>
      <c r="C12" s="554"/>
      <c r="D12" s="554"/>
      <c r="E12" s="715"/>
      <c r="F12" s="716"/>
      <c r="G12" s="717"/>
      <c r="H12" s="555"/>
      <c r="I12" s="556"/>
      <c r="J12" s="557"/>
      <c r="K12" s="557"/>
      <c r="L12" s="557"/>
      <c r="M12" s="558"/>
      <c r="N12" s="559"/>
      <c r="O12" s="560"/>
    </row>
    <row r="13" spans="1:15" s="62" customFormat="1" ht="15" customHeight="1">
      <c r="A13" s="119" t="s">
        <v>78</v>
      </c>
      <c r="B13" s="561" t="s">
        <v>172</v>
      </c>
      <c r="C13" s="562" t="s">
        <v>271</v>
      </c>
      <c r="D13" s="562"/>
      <c r="E13" s="718"/>
      <c r="F13" s="719"/>
      <c r="G13" s="720"/>
      <c r="H13" s="563"/>
      <c r="I13" s="564"/>
      <c r="J13" s="565"/>
      <c r="K13" s="565"/>
      <c r="L13" s="565"/>
      <c r="M13" s="566"/>
      <c r="N13" s="543">
        <f>'Исход дан'!D$16</f>
        <v>3392.24</v>
      </c>
      <c r="O13" s="660">
        <f>ROUND(H13/N13/12,2)</f>
        <v>0</v>
      </c>
    </row>
    <row r="14" spans="1:15" s="62" customFormat="1" ht="15" customHeight="1">
      <c r="A14" s="122" t="s">
        <v>79</v>
      </c>
      <c r="B14" s="561" t="s">
        <v>173</v>
      </c>
      <c r="C14" s="562" t="s">
        <v>271</v>
      </c>
      <c r="D14" s="562"/>
      <c r="E14" s="718"/>
      <c r="F14" s="719"/>
      <c r="G14" s="720"/>
      <c r="H14" s="563"/>
      <c r="I14" s="564"/>
      <c r="J14" s="565"/>
      <c r="K14" s="565"/>
      <c r="L14" s="565"/>
      <c r="M14" s="566"/>
      <c r="N14" s="543">
        <f>'Исход дан'!D$16</f>
        <v>3392.24</v>
      </c>
      <c r="O14" s="660">
        <f>ROUND(H14/N14/12,2)</f>
        <v>0</v>
      </c>
    </row>
    <row r="15" spans="1:15" s="62" customFormat="1" ht="15" customHeight="1">
      <c r="A15" s="119" t="s">
        <v>80</v>
      </c>
      <c r="B15" s="561" t="s">
        <v>174</v>
      </c>
      <c r="C15" s="562" t="s">
        <v>271</v>
      </c>
      <c r="D15" s="562"/>
      <c r="E15" s="718"/>
      <c r="F15" s="719"/>
      <c r="G15" s="720"/>
      <c r="H15" s="563"/>
      <c r="I15" s="564"/>
      <c r="J15" s="565"/>
      <c r="K15" s="565"/>
      <c r="L15" s="565"/>
      <c r="M15" s="566"/>
      <c r="N15" s="543">
        <f>'Исход дан'!D$16</f>
        <v>3392.24</v>
      </c>
      <c r="O15" s="660">
        <f>ROUND(H15/N15/12,2)</f>
        <v>0</v>
      </c>
    </row>
    <row r="16" spans="1:15" s="62" customFormat="1" ht="15" customHeight="1" thickBot="1">
      <c r="A16" s="119" t="s">
        <v>81</v>
      </c>
      <c r="B16" s="561" t="s">
        <v>175</v>
      </c>
      <c r="C16" s="562" t="s">
        <v>271</v>
      </c>
      <c r="D16" s="562"/>
      <c r="E16" s="718"/>
      <c r="F16" s="719"/>
      <c r="G16" s="720"/>
      <c r="H16" s="563"/>
      <c r="I16" s="564"/>
      <c r="J16" s="565"/>
      <c r="K16" s="565"/>
      <c r="L16" s="565"/>
      <c r="M16" s="566"/>
      <c r="N16" s="544">
        <f>'Исход дан'!D$16</f>
        <v>3392.24</v>
      </c>
      <c r="O16" s="662">
        <f>ROUND(H16/N16/12,2)</f>
        <v>0</v>
      </c>
    </row>
    <row r="17" spans="1:15" s="21" customFormat="1" ht="30" customHeight="1" thickBot="1">
      <c r="A17" s="119" t="s">
        <v>82</v>
      </c>
      <c r="B17" s="545" t="s">
        <v>325</v>
      </c>
      <c r="C17" s="546"/>
      <c r="D17" s="546"/>
      <c r="E17" s="567"/>
      <c r="F17" s="546"/>
      <c r="G17" s="547"/>
      <c r="H17" s="552">
        <f>SUM(H13:H16)</f>
        <v>0</v>
      </c>
      <c r="I17" s="568"/>
      <c r="J17" s="569"/>
      <c r="K17" s="569"/>
      <c r="L17" s="569"/>
      <c r="M17" s="570"/>
      <c r="N17" s="551">
        <f>'Исход дан'!D$16</f>
        <v>3392.24</v>
      </c>
      <c r="O17" s="735">
        <f>ROUND(H17/N17/12,2)</f>
        <v>0</v>
      </c>
    </row>
    <row r="18" spans="1:15" s="113" customFormat="1" ht="15" customHeight="1">
      <c r="A18" s="122" t="s">
        <v>157</v>
      </c>
      <c r="B18" s="571" t="s">
        <v>84</v>
      </c>
      <c r="C18" s="572" t="s">
        <v>85</v>
      </c>
      <c r="D18" s="572" t="s">
        <v>317</v>
      </c>
      <c r="E18" s="573"/>
      <c r="F18" s="572"/>
      <c r="G18" s="574"/>
      <c r="H18" s="766">
        <v>5000</v>
      </c>
      <c r="I18" s="575"/>
      <c r="J18" s="576"/>
      <c r="K18" s="577"/>
      <c r="L18" s="576"/>
      <c r="M18" s="578"/>
      <c r="N18" s="559">
        <f>'Исход дан'!D$16</f>
        <v>3392.24</v>
      </c>
      <c r="O18" s="660">
        <f>ROUND(H18/N18/12,3)</f>
        <v>0.123</v>
      </c>
    </row>
    <row r="19" spans="1:15" s="22" customFormat="1" ht="26.25" customHeight="1">
      <c r="A19" s="119" t="s">
        <v>83</v>
      </c>
      <c r="B19" s="347" t="s">
        <v>497</v>
      </c>
      <c r="C19" s="543" t="s">
        <v>513</v>
      </c>
      <c r="D19" s="543" t="s">
        <v>426</v>
      </c>
      <c r="E19" s="721">
        <v>0</v>
      </c>
      <c r="F19" s="714">
        <f>'Исход дан'!D16</f>
        <v>3392.24</v>
      </c>
      <c r="G19" s="722">
        <v>1</v>
      </c>
      <c r="H19" s="767">
        <f>E19*F19*G19*12</f>
        <v>0</v>
      </c>
      <c r="I19" s="582"/>
      <c r="J19" s="585"/>
      <c r="K19" s="583"/>
      <c r="L19" s="585"/>
      <c r="M19" s="584"/>
      <c r="N19" s="543">
        <f>'Исход дан'!D$16</f>
        <v>3392.24</v>
      </c>
      <c r="O19" s="660">
        <f>ROUND(H19/N19/12,3)</f>
        <v>0</v>
      </c>
    </row>
    <row r="20" spans="1:15" s="22" customFormat="1" ht="24.75" customHeight="1">
      <c r="A20" s="119" t="s">
        <v>158</v>
      </c>
      <c r="B20" s="347" t="s">
        <v>498</v>
      </c>
      <c r="C20" s="543" t="s">
        <v>513</v>
      </c>
      <c r="D20" s="543" t="s">
        <v>426</v>
      </c>
      <c r="E20" s="723">
        <v>0</v>
      </c>
      <c r="F20" s="714">
        <f>'Исход дан'!D16</f>
        <v>3392.24</v>
      </c>
      <c r="G20" s="721">
        <v>1</v>
      </c>
      <c r="H20" s="767">
        <f>E20*F20*G20*12</f>
        <v>0</v>
      </c>
      <c r="I20" s="582"/>
      <c r="J20" s="585"/>
      <c r="K20" s="583"/>
      <c r="L20" s="585"/>
      <c r="M20" s="584"/>
      <c r="N20" s="543">
        <f>'Исход дан'!D$16</f>
        <v>3392.24</v>
      </c>
      <c r="O20" s="660">
        <f>ROUND(H20/N20/12,3)</f>
        <v>0</v>
      </c>
    </row>
    <row r="21" spans="1:15" s="22" customFormat="1" ht="15.75" customHeight="1" thickBot="1">
      <c r="A21" s="757" t="s">
        <v>159</v>
      </c>
      <c r="B21" s="347" t="s">
        <v>429</v>
      </c>
      <c r="C21" s="543" t="s">
        <v>513</v>
      </c>
      <c r="D21" s="543" t="s">
        <v>426</v>
      </c>
      <c r="E21" s="758">
        <v>0.15</v>
      </c>
      <c r="F21" s="714">
        <f>'Исход дан'!D16</f>
        <v>3392.24</v>
      </c>
      <c r="G21" s="714">
        <v>1</v>
      </c>
      <c r="H21" s="768">
        <f>E21*F21*G21*12</f>
        <v>6106.031999999999</v>
      </c>
      <c r="I21" s="586"/>
      <c r="J21" s="587"/>
      <c r="K21" s="588"/>
      <c r="L21" s="587"/>
      <c r="M21" s="589"/>
      <c r="N21" s="544">
        <f>'Исход дан'!D$16</f>
        <v>3392.24</v>
      </c>
      <c r="O21" s="662">
        <f>ROUND(H21/N21/12,3)</f>
        <v>0.15</v>
      </c>
    </row>
    <row r="22" spans="1:17" s="21" customFormat="1" ht="28.5" customHeight="1" thickBot="1">
      <c r="A22" s="119" t="s">
        <v>160</v>
      </c>
      <c r="B22" s="754" t="s">
        <v>352</v>
      </c>
      <c r="C22" s="755"/>
      <c r="D22" s="755"/>
      <c r="E22" s="755"/>
      <c r="F22" s="755"/>
      <c r="G22" s="756"/>
      <c r="H22" s="552">
        <f>SUM(H18:H21)</f>
        <v>11106.032</v>
      </c>
      <c r="I22" s="548"/>
      <c r="J22" s="549"/>
      <c r="K22" s="549"/>
      <c r="L22" s="549"/>
      <c r="M22" s="550"/>
      <c r="N22" s="551">
        <f>'Исход дан'!D$16</f>
        <v>3392.24</v>
      </c>
      <c r="O22" s="735">
        <f aca="true" t="shared" si="0" ref="O22:O31">ROUND(H22/N22/12,2)</f>
        <v>0.27</v>
      </c>
      <c r="Q22" s="761"/>
    </row>
    <row r="23" spans="1:16" s="1" customFormat="1" ht="25.5" customHeight="1">
      <c r="A23" s="757" t="s">
        <v>90</v>
      </c>
      <c r="B23" s="590" t="s">
        <v>183</v>
      </c>
      <c r="C23" s="591"/>
      <c r="D23" s="559"/>
      <c r="E23" s="714" t="s">
        <v>337</v>
      </c>
      <c r="F23" s="714" t="s">
        <v>337</v>
      </c>
      <c r="G23" s="721" t="s">
        <v>337</v>
      </c>
      <c r="H23" s="653">
        <f>профраб!I24</f>
        <v>67363.88922798172</v>
      </c>
      <c r="I23" s="654"/>
      <c r="J23" s="655"/>
      <c r="K23" s="559"/>
      <c r="L23" s="655"/>
      <c r="M23" s="592"/>
      <c r="N23" s="559">
        <f>'Исход дан'!D$16</f>
        <v>3392.24</v>
      </c>
      <c r="O23" s="663">
        <f t="shared" si="0"/>
        <v>1.65</v>
      </c>
      <c r="P23" s="398"/>
    </row>
    <row r="24" spans="1:16" s="1" customFormat="1" ht="25.5" customHeight="1">
      <c r="A24" s="119" t="s">
        <v>91</v>
      </c>
      <c r="B24" s="347" t="s">
        <v>184</v>
      </c>
      <c r="C24" s="580"/>
      <c r="D24" s="543"/>
      <c r="E24" s="714" t="s">
        <v>337</v>
      </c>
      <c r="F24" s="714" t="s">
        <v>337</v>
      </c>
      <c r="G24" s="721" t="s">
        <v>337</v>
      </c>
      <c r="H24" s="581">
        <f>профраб!I38</f>
        <v>21596.40408109589</v>
      </c>
      <c r="I24" s="656"/>
      <c r="J24" s="657"/>
      <c r="K24" s="543"/>
      <c r="L24" s="657"/>
      <c r="M24" s="593"/>
      <c r="N24" s="543">
        <f>'Исход дан'!D$16</f>
        <v>3392.24</v>
      </c>
      <c r="O24" s="660">
        <f t="shared" si="0"/>
        <v>0.53</v>
      </c>
      <c r="P24" s="398"/>
    </row>
    <row r="25" spans="1:16" s="1" customFormat="1" ht="30" customHeight="1" thickBot="1">
      <c r="A25" s="757" t="s">
        <v>92</v>
      </c>
      <c r="B25" s="397" t="s">
        <v>428</v>
      </c>
      <c r="C25" s="594"/>
      <c r="D25" s="544"/>
      <c r="E25" s="594"/>
      <c r="F25" s="726"/>
      <c r="G25" s="727"/>
      <c r="H25" s="595"/>
      <c r="I25" s="658"/>
      <c r="J25" s="659"/>
      <c r="K25" s="544"/>
      <c r="L25" s="659"/>
      <c r="M25" s="596"/>
      <c r="N25" s="544">
        <f>'Исход дан'!D$16</f>
        <v>3392.24</v>
      </c>
      <c r="O25" s="662">
        <f t="shared" si="0"/>
        <v>0</v>
      </c>
      <c r="P25" s="398"/>
    </row>
    <row r="26" spans="1:17" s="4" customFormat="1" ht="30" customHeight="1" thickBot="1">
      <c r="A26" s="119" t="s">
        <v>93</v>
      </c>
      <c r="B26" s="646" t="s">
        <v>438</v>
      </c>
      <c r="C26" s="546"/>
      <c r="D26" s="546"/>
      <c r="E26" s="546"/>
      <c r="F26" s="546"/>
      <c r="G26" s="547"/>
      <c r="H26" s="734">
        <f>SUM(H23:H25)</f>
        <v>88960.29330907762</v>
      </c>
      <c r="I26" s="548"/>
      <c r="J26" s="661"/>
      <c r="K26" s="549"/>
      <c r="L26" s="661"/>
      <c r="M26" s="647"/>
      <c r="N26" s="551">
        <f>'Исход дан'!D$16</f>
        <v>3392.24</v>
      </c>
      <c r="O26" s="735">
        <f t="shared" si="0"/>
        <v>2.19</v>
      </c>
      <c r="Q26" s="762"/>
    </row>
    <row r="27" spans="1:15" s="4" customFormat="1" ht="39" customHeight="1">
      <c r="A27" s="757" t="s">
        <v>94</v>
      </c>
      <c r="B27" s="864" t="s">
        <v>403</v>
      </c>
      <c r="C27" s="598"/>
      <c r="D27" s="599"/>
      <c r="E27" s="728"/>
      <c r="F27" s="728"/>
      <c r="G27" s="729"/>
      <c r="H27" s="764">
        <v>2800</v>
      </c>
      <c r="I27" s="600"/>
      <c r="J27" s="601"/>
      <c r="K27" s="602"/>
      <c r="L27" s="601"/>
      <c r="M27" s="603"/>
      <c r="N27" s="559">
        <f>'Исход дан'!D$16</f>
        <v>3392.24</v>
      </c>
      <c r="O27" s="663">
        <f t="shared" si="0"/>
        <v>0.07</v>
      </c>
    </row>
    <row r="28" spans="1:15" s="348" customFormat="1" ht="38.25" customHeight="1">
      <c r="A28" s="119" t="s">
        <v>95</v>
      </c>
      <c r="B28" s="347" t="s">
        <v>512</v>
      </c>
      <c r="C28" s="403" t="s">
        <v>291</v>
      </c>
      <c r="D28" s="532"/>
      <c r="E28" s="716"/>
      <c r="F28" s="716"/>
      <c r="G28" s="730"/>
      <c r="H28" s="765">
        <v>7700</v>
      </c>
      <c r="I28" s="604"/>
      <c r="J28" s="605"/>
      <c r="K28" s="606"/>
      <c r="L28" s="605"/>
      <c r="M28" s="531"/>
      <c r="N28" s="543">
        <f>'Исход дан'!D$16</f>
        <v>3392.24</v>
      </c>
      <c r="O28" s="663">
        <f t="shared" si="0"/>
        <v>0.19</v>
      </c>
    </row>
    <row r="29" spans="1:15" s="21" customFormat="1" ht="15.75" customHeight="1">
      <c r="A29" s="757" t="s">
        <v>96</v>
      </c>
      <c r="B29" s="347" t="s">
        <v>556</v>
      </c>
      <c r="C29" s="559" t="s">
        <v>496</v>
      </c>
      <c r="D29" s="543" t="s">
        <v>426</v>
      </c>
      <c r="E29" s="714"/>
      <c r="F29" s="714"/>
      <c r="G29" s="721"/>
      <c r="H29" s="765">
        <v>6185</v>
      </c>
      <c r="I29" s="607"/>
      <c r="J29" s="608"/>
      <c r="K29" s="609"/>
      <c r="L29" s="608"/>
      <c r="M29" s="610"/>
      <c r="N29" s="543">
        <f>'Исход дан'!D$16</f>
        <v>3392.24</v>
      </c>
      <c r="O29" s="663">
        <f t="shared" si="0"/>
        <v>0.15</v>
      </c>
    </row>
    <row r="30" spans="1:15" s="21" customFormat="1" ht="30" customHeight="1">
      <c r="A30" s="119" t="s">
        <v>97</v>
      </c>
      <c r="B30" s="347" t="s">
        <v>437</v>
      </c>
      <c r="C30" s="559"/>
      <c r="D30" s="543"/>
      <c r="E30" s="714"/>
      <c r="F30" s="731"/>
      <c r="G30" s="732"/>
      <c r="H30" s="765">
        <v>4124</v>
      </c>
      <c r="I30" s="607"/>
      <c r="J30" s="608"/>
      <c r="K30" s="609"/>
      <c r="L30" s="608"/>
      <c r="M30" s="610"/>
      <c r="N30" s="543">
        <f>'Исход дан'!D$16</f>
        <v>3392.24</v>
      </c>
      <c r="O30" s="663">
        <f t="shared" si="0"/>
        <v>0.1</v>
      </c>
    </row>
    <row r="31" spans="1:17" s="21" customFormat="1" ht="31.5" customHeight="1" thickBot="1">
      <c r="A31" s="759" t="s">
        <v>161</v>
      </c>
      <c r="B31" s="397" t="s">
        <v>436</v>
      </c>
      <c r="C31" s="611"/>
      <c r="D31" s="544" t="s">
        <v>426</v>
      </c>
      <c r="E31" s="724"/>
      <c r="F31" s="724"/>
      <c r="G31" s="725"/>
      <c r="H31" s="765">
        <v>48084</v>
      </c>
      <c r="I31" s="612"/>
      <c r="J31" s="613"/>
      <c r="K31" s="614"/>
      <c r="L31" s="613"/>
      <c r="M31" s="615"/>
      <c r="N31" s="543">
        <f>'Исход дан'!D$16</f>
        <v>3392.24</v>
      </c>
      <c r="O31" s="663">
        <f t="shared" si="0"/>
        <v>1.18</v>
      </c>
      <c r="Q31" s="21">
        <v>10.13</v>
      </c>
    </row>
    <row r="32" spans="1:17" s="5" customFormat="1" ht="30" customHeight="1" thickBot="1">
      <c r="A32" s="759"/>
      <c r="B32" s="616" t="s">
        <v>189</v>
      </c>
      <c r="C32" s="617"/>
      <c r="D32" s="617" t="s">
        <v>58</v>
      </c>
      <c r="E32" s="617"/>
      <c r="F32" s="617"/>
      <c r="G32" s="618"/>
      <c r="H32" s="622">
        <f>H11+H17+H22+H26+H27+H28+H29+H30+H31</f>
        <v>412308.69812281826</v>
      </c>
      <c r="I32" s="619"/>
      <c r="J32" s="620"/>
      <c r="K32" s="620"/>
      <c r="L32" s="620"/>
      <c r="M32" s="621"/>
      <c r="N32" s="597">
        <f>'Исход дан'!D$16</f>
        <v>3392.24</v>
      </c>
      <c r="O32" s="799">
        <f>ROUND(H32/N32/12,2)</f>
        <v>10.13</v>
      </c>
      <c r="P32" s="346">
        <v>412361</v>
      </c>
      <c r="Q32" s="763"/>
    </row>
    <row r="33" spans="1:15" s="1" customFormat="1" ht="21" hidden="1">
      <c r="A33" s="122" t="s">
        <v>354</v>
      </c>
      <c r="B33" s="623" t="s">
        <v>177</v>
      </c>
      <c r="C33" s="572"/>
      <c r="D33" s="571"/>
      <c r="E33" s="572"/>
      <c r="F33" s="572"/>
      <c r="G33" s="572"/>
      <c r="H33" s="579"/>
      <c r="I33" s="624"/>
      <c r="J33" s="625"/>
      <c r="K33" s="626"/>
      <c r="L33" s="627"/>
      <c r="M33" s="628"/>
      <c r="N33" s="629"/>
      <c r="O33" s="630"/>
    </row>
    <row r="34" spans="1:15" s="5" customFormat="1" ht="21" hidden="1" thickBot="1">
      <c r="A34" s="119" t="s">
        <v>163</v>
      </c>
      <c r="B34" s="631" t="s">
        <v>178</v>
      </c>
      <c r="C34" s="632"/>
      <c r="D34" s="633"/>
      <c r="E34" s="634"/>
      <c r="F34" s="635"/>
      <c r="G34" s="635"/>
      <c r="H34" s="636"/>
      <c r="I34" s="637"/>
      <c r="J34" s="638"/>
      <c r="K34" s="639"/>
      <c r="L34" s="638"/>
      <c r="M34" s="640"/>
      <c r="N34" s="641"/>
      <c r="O34" s="642"/>
    </row>
    <row r="35" spans="2:15" ht="12.75">
      <c r="B35" s="643"/>
      <c r="C35" s="644"/>
      <c r="D35" s="644"/>
      <c r="E35" s="644"/>
      <c r="F35" s="644"/>
      <c r="G35" s="644"/>
      <c r="H35" s="644"/>
      <c r="I35" s="644"/>
      <c r="J35" s="645"/>
      <c r="K35" s="644"/>
      <c r="L35" s="645"/>
      <c r="M35" s="643"/>
      <c r="N35" s="644"/>
      <c r="O35" s="644"/>
    </row>
    <row r="36" spans="2:15" ht="12.75">
      <c r="B36" s="643"/>
      <c r="C36" s="644"/>
      <c r="D36" s="644"/>
      <c r="E36" s="644"/>
      <c r="F36" s="644"/>
      <c r="G36" s="644"/>
      <c r="H36" s="644"/>
      <c r="I36" s="644"/>
      <c r="J36" s="645"/>
      <c r="K36" s="644"/>
      <c r="L36" s="645"/>
      <c r="M36" s="643"/>
      <c r="N36" s="644"/>
      <c r="O36" s="644"/>
    </row>
    <row r="37" spans="2:15" ht="12.75">
      <c r="B37" s="643"/>
      <c r="C37" s="644"/>
      <c r="D37" s="644"/>
      <c r="E37" s="644"/>
      <c r="F37" s="644"/>
      <c r="G37" s="644"/>
      <c r="H37" s="740"/>
      <c r="I37" s="644"/>
      <c r="J37" s="645"/>
      <c r="K37" s="644"/>
      <c r="L37" s="645"/>
      <c r="M37" s="643"/>
      <c r="N37" s="644"/>
      <c r="O37" s="644"/>
    </row>
    <row r="38" ht="12.75">
      <c r="H38" s="742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73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85" zoomScaleNormal="85" workbookViewId="0" topLeftCell="A1">
      <selection activeCell="G21" sqref="G21"/>
    </sheetView>
  </sheetViews>
  <sheetFormatPr defaultColWidth="9.125" defaultRowHeight="12.75"/>
  <cols>
    <col min="1" max="1" width="6.375" style="834" customWidth="1"/>
    <col min="2" max="2" width="64.50390625" style="22" customWidth="1"/>
    <col min="3" max="3" width="25.375" style="832" customWidth="1"/>
    <col min="4" max="4" width="13.375" style="832" bestFit="1" customWidth="1"/>
    <col min="5" max="5" width="17.50390625" style="832" customWidth="1"/>
    <col min="6" max="6" width="11.375" style="22" bestFit="1" customWidth="1"/>
    <col min="7" max="7" width="10.625" style="22" bestFit="1" customWidth="1"/>
    <col min="8" max="16384" width="9.125" style="22" customWidth="1"/>
  </cols>
  <sheetData>
    <row r="1" spans="1:5" ht="36.75" customHeight="1" thickBot="1">
      <c r="A1" s="911" t="s">
        <v>576</v>
      </c>
      <c r="B1" s="911"/>
      <c r="C1" s="911"/>
      <c r="D1" s="911"/>
      <c r="E1" s="911"/>
    </row>
    <row r="2" spans="1:5" ht="42" customHeight="1">
      <c r="A2" s="800" t="s">
        <v>196</v>
      </c>
      <c r="B2" s="801" t="s">
        <v>197</v>
      </c>
      <c r="C2" s="801" t="s">
        <v>198</v>
      </c>
      <c r="D2" s="802" t="s">
        <v>509</v>
      </c>
      <c r="E2" s="803" t="s">
        <v>508</v>
      </c>
    </row>
    <row r="3" spans="1:5" ht="20.25" customHeight="1">
      <c r="A3" s="804"/>
      <c r="B3" s="805" t="s">
        <v>300</v>
      </c>
      <c r="C3" s="806"/>
      <c r="D3" s="806"/>
      <c r="E3" s="807">
        <f>'Исход дан'!D16</f>
        <v>3392.24</v>
      </c>
    </row>
    <row r="4" spans="1:5" ht="20.25" customHeight="1">
      <c r="A4" s="905" t="s">
        <v>381</v>
      </c>
      <c r="B4" s="906"/>
      <c r="C4" s="906"/>
      <c r="D4" s="906"/>
      <c r="E4" s="907"/>
    </row>
    <row r="5" spans="1:7" s="812" customFormat="1" ht="16.5" customHeight="1">
      <c r="A5" s="808" t="s">
        <v>199</v>
      </c>
      <c r="B5" s="805" t="s">
        <v>541</v>
      </c>
      <c r="C5" s="809"/>
      <c r="D5" s="810">
        <f>'ВСЕ раб'!H7</f>
        <v>109868.71684860763</v>
      </c>
      <c r="E5" s="811">
        <f>ROUND(D5/E$3/12,2)</f>
        <v>2.7</v>
      </c>
      <c r="G5" s="813"/>
    </row>
    <row r="6" spans="1:7" ht="16.5" customHeight="1">
      <c r="A6" s="854" t="s">
        <v>200</v>
      </c>
      <c r="B6" s="838" t="s">
        <v>542</v>
      </c>
      <c r="C6" s="837" t="s">
        <v>201</v>
      </c>
      <c r="D6" s="855"/>
      <c r="E6" s="839"/>
      <c r="F6" s="812"/>
      <c r="G6" s="812"/>
    </row>
    <row r="7" spans="1:7" ht="16.5" customHeight="1">
      <c r="A7" s="854" t="s">
        <v>386</v>
      </c>
      <c r="B7" s="838" t="s">
        <v>543</v>
      </c>
      <c r="C7" s="837" t="s">
        <v>203</v>
      </c>
      <c r="D7" s="855"/>
      <c r="E7" s="839"/>
      <c r="F7" s="812"/>
      <c r="G7" s="812"/>
    </row>
    <row r="8" spans="1:7" ht="17.25" customHeight="1">
      <c r="A8" s="854" t="s">
        <v>387</v>
      </c>
      <c r="B8" s="838" t="s">
        <v>304</v>
      </c>
      <c r="C8" s="837" t="s">
        <v>203</v>
      </c>
      <c r="D8" s="855"/>
      <c r="E8" s="839"/>
      <c r="F8" s="812"/>
      <c r="G8" s="812"/>
    </row>
    <row r="9" spans="1:7" ht="13.5" customHeight="1">
      <c r="A9" s="854" t="s">
        <v>388</v>
      </c>
      <c r="B9" s="838" t="s">
        <v>204</v>
      </c>
      <c r="C9" s="837" t="s">
        <v>205</v>
      </c>
      <c r="D9" s="855"/>
      <c r="E9" s="839"/>
      <c r="F9" s="812"/>
      <c r="G9" s="812"/>
    </row>
    <row r="10" spans="1:7" ht="16.5" customHeight="1">
      <c r="A10" s="854" t="s">
        <v>389</v>
      </c>
      <c r="B10" s="838" t="s">
        <v>206</v>
      </c>
      <c r="C10" s="837" t="s">
        <v>205</v>
      </c>
      <c r="D10" s="855"/>
      <c r="E10" s="839"/>
      <c r="F10" s="812"/>
      <c r="G10" s="812"/>
    </row>
    <row r="11" spans="1:7" ht="27" customHeight="1">
      <c r="A11" s="854" t="s">
        <v>390</v>
      </c>
      <c r="B11" s="838" t="s">
        <v>207</v>
      </c>
      <c r="C11" s="837" t="s">
        <v>203</v>
      </c>
      <c r="D11" s="855"/>
      <c r="E11" s="839"/>
      <c r="F11" s="812"/>
      <c r="G11" s="812"/>
    </row>
    <row r="12" spans="1:7" ht="26.25" customHeight="1">
      <c r="A12" s="854" t="s">
        <v>544</v>
      </c>
      <c r="B12" s="838" t="s">
        <v>208</v>
      </c>
      <c r="C12" s="837" t="s">
        <v>209</v>
      </c>
      <c r="D12" s="855"/>
      <c r="E12" s="839"/>
      <c r="F12" s="812"/>
      <c r="G12" s="812"/>
    </row>
    <row r="13" spans="1:7" ht="19.5" customHeight="1" hidden="1">
      <c r="A13" s="854" t="s">
        <v>545</v>
      </c>
      <c r="B13" s="838" t="s">
        <v>538</v>
      </c>
      <c r="C13" s="837" t="s">
        <v>539</v>
      </c>
      <c r="D13" s="840"/>
      <c r="E13" s="841"/>
      <c r="F13" s="812"/>
      <c r="G13" s="812"/>
    </row>
    <row r="14" spans="1:7" ht="16.5" customHeight="1" hidden="1">
      <c r="A14" s="854" t="s">
        <v>546</v>
      </c>
      <c r="B14" s="838" t="s">
        <v>540</v>
      </c>
      <c r="C14" s="837" t="s">
        <v>202</v>
      </c>
      <c r="D14" s="840"/>
      <c r="E14" s="841"/>
      <c r="F14" s="812"/>
      <c r="G14" s="812"/>
    </row>
    <row r="15" spans="1:7" ht="15" customHeight="1" hidden="1">
      <c r="A15" s="854" t="s">
        <v>547</v>
      </c>
      <c r="B15" s="838" t="s">
        <v>401</v>
      </c>
      <c r="C15" s="837" t="s">
        <v>272</v>
      </c>
      <c r="D15" s="840">
        <v>0</v>
      </c>
      <c r="E15" s="841">
        <f>D15/E$3/12</f>
        <v>0</v>
      </c>
      <c r="F15" s="812"/>
      <c r="G15" s="812"/>
    </row>
    <row r="16" spans="1:7" ht="21.75" customHeight="1">
      <c r="A16" s="902" t="s">
        <v>507</v>
      </c>
      <c r="B16" s="903"/>
      <c r="C16" s="903"/>
      <c r="D16" s="903"/>
      <c r="E16" s="904"/>
      <c r="F16" s="812"/>
      <c r="G16" s="812"/>
    </row>
    <row r="17" spans="1:7" s="812" customFormat="1" ht="19.5" customHeight="1">
      <c r="A17" s="842" t="s">
        <v>391</v>
      </c>
      <c r="B17" s="843" t="s">
        <v>210</v>
      </c>
      <c r="C17" s="844"/>
      <c r="D17" s="810">
        <f>'ВСЕ раб'!H8</f>
        <v>128364.87550943681</v>
      </c>
      <c r="E17" s="845">
        <f>ROUND(D17/E$3/12,2)</f>
        <v>3.15</v>
      </c>
      <c r="F17" s="817"/>
      <c r="G17" s="813"/>
    </row>
    <row r="18" spans="1:7" s="818" customFormat="1" ht="19.5" customHeight="1">
      <c r="A18" s="842" t="s">
        <v>67</v>
      </c>
      <c r="B18" s="846" t="s">
        <v>211</v>
      </c>
      <c r="C18" s="847"/>
      <c r="D18" s="848"/>
      <c r="E18" s="849"/>
      <c r="F18" s="812"/>
      <c r="G18" s="812"/>
    </row>
    <row r="19" spans="1:7" ht="28.5" customHeight="1">
      <c r="A19" s="899" t="s">
        <v>212</v>
      </c>
      <c r="B19" s="838" t="s">
        <v>213</v>
      </c>
      <c r="C19" s="837" t="s">
        <v>214</v>
      </c>
      <c r="D19" s="900"/>
      <c r="E19" s="901"/>
      <c r="F19" s="812"/>
      <c r="G19" s="812"/>
    </row>
    <row r="20" spans="1:7" ht="14.25" customHeight="1">
      <c r="A20" s="899"/>
      <c r="B20" s="838" t="s">
        <v>216</v>
      </c>
      <c r="C20" s="837" t="s">
        <v>215</v>
      </c>
      <c r="D20" s="900"/>
      <c r="E20" s="901"/>
      <c r="F20" s="812"/>
      <c r="G20" s="812"/>
    </row>
    <row r="21" spans="1:7" ht="28.5" customHeight="1">
      <c r="A21" s="899" t="s">
        <v>217</v>
      </c>
      <c r="B21" s="838" t="s">
        <v>218</v>
      </c>
      <c r="C21" s="837" t="s">
        <v>219</v>
      </c>
      <c r="D21" s="900"/>
      <c r="E21" s="901"/>
      <c r="F21" s="812"/>
      <c r="G21" s="812"/>
    </row>
    <row r="22" spans="1:7" ht="15" customHeight="1">
      <c r="A22" s="899"/>
      <c r="B22" s="838" t="s">
        <v>220</v>
      </c>
      <c r="C22" s="837" t="s">
        <v>301</v>
      </c>
      <c r="D22" s="900"/>
      <c r="E22" s="901"/>
      <c r="F22" s="812"/>
      <c r="G22" s="812"/>
    </row>
    <row r="23" spans="1:7" ht="14.25" customHeight="1">
      <c r="A23" s="899"/>
      <c r="B23" s="838" t="s">
        <v>221</v>
      </c>
      <c r="C23" s="837" t="s">
        <v>302</v>
      </c>
      <c r="D23" s="900"/>
      <c r="E23" s="901"/>
      <c r="F23" s="812"/>
      <c r="G23" s="812"/>
    </row>
    <row r="24" spans="1:7" ht="25.5" customHeight="1">
      <c r="A24" s="899" t="s">
        <v>222</v>
      </c>
      <c r="B24" s="838" t="s">
        <v>223</v>
      </c>
      <c r="C24" s="837" t="s">
        <v>224</v>
      </c>
      <c r="D24" s="900"/>
      <c r="E24" s="901"/>
      <c r="F24" s="812"/>
      <c r="G24" s="812"/>
    </row>
    <row r="25" spans="1:7" ht="26.25" customHeight="1">
      <c r="A25" s="899"/>
      <c r="B25" s="838" t="s">
        <v>226</v>
      </c>
      <c r="C25" s="837" t="s">
        <v>225</v>
      </c>
      <c r="D25" s="900"/>
      <c r="E25" s="901"/>
      <c r="F25" s="812"/>
      <c r="G25" s="812"/>
    </row>
    <row r="26" spans="1:7" ht="27" customHeight="1">
      <c r="A26" s="899" t="s">
        <v>227</v>
      </c>
      <c r="B26" s="838" t="s">
        <v>228</v>
      </c>
      <c r="C26" s="837" t="s">
        <v>303</v>
      </c>
      <c r="D26" s="900"/>
      <c r="E26" s="901"/>
      <c r="F26" s="812"/>
      <c r="G26" s="812"/>
    </row>
    <row r="27" spans="1:7" ht="25.5" customHeight="1">
      <c r="A27" s="899"/>
      <c r="B27" s="838" t="s">
        <v>226</v>
      </c>
      <c r="C27" s="837" t="s">
        <v>229</v>
      </c>
      <c r="D27" s="900"/>
      <c r="E27" s="901"/>
      <c r="F27" s="812"/>
      <c r="G27" s="812"/>
    </row>
    <row r="28" spans="1:7" ht="26.25">
      <c r="A28" s="899" t="s">
        <v>230</v>
      </c>
      <c r="B28" s="838" t="s">
        <v>231</v>
      </c>
      <c r="C28" s="837" t="s">
        <v>232</v>
      </c>
      <c r="D28" s="900"/>
      <c r="E28" s="901"/>
      <c r="F28" s="812"/>
      <c r="G28" s="812"/>
    </row>
    <row r="29" spans="1:7" ht="26.25">
      <c r="A29" s="899"/>
      <c r="B29" s="838" t="s">
        <v>234</v>
      </c>
      <c r="C29" s="837" t="s">
        <v>233</v>
      </c>
      <c r="D29" s="900"/>
      <c r="E29" s="901"/>
      <c r="F29" s="812"/>
      <c r="G29" s="812"/>
    </row>
    <row r="30" spans="1:7" ht="26.25">
      <c r="A30" s="899"/>
      <c r="B30" s="838" t="s">
        <v>221</v>
      </c>
      <c r="C30" s="837" t="s">
        <v>224</v>
      </c>
      <c r="D30" s="900"/>
      <c r="E30" s="901"/>
      <c r="F30" s="812"/>
      <c r="G30" s="812"/>
    </row>
    <row r="31" spans="1:7" ht="15" customHeight="1">
      <c r="A31" s="899" t="s">
        <v>235</v>
      </c>
      <c r="B31" s="838" t="s">
        <v>236</v>
      </c>
      <c r="C31" s="837" t="s">
        <v>237</v>
      </c>
      <c r="D31" s="900"/>
      <c r="E31" s="901"/>
      <c r="F31" s="812"/>
      <c r="G31" s="812"/>
    </row>
    <row r="32" spans="1:7" ht="19.5" customHeight="1">
      <c r="A32" s="899"/>
      <c r="B32" s="838" t="s">
        <v>234</v>
      </c>
      <c r="C32" s="837" t="s">
        <v>238</v>
      </c>
      <c r="D32" s="900"/>
      <c r="E32" s="901"/>
      <c r="F32" s="812"/>
      <c r="G32" s="812"/>
    </row>
    <row r="33" spans="1:7" ht="16.5" customHeight="1">
      <c r="A33" s="899"/>
      <c r="B33" s="838" t="s">
        <v>221</v>
      </c>
      <c r="C33" s="837" t="s">
        <v>239</v>
      </c>
      <c r="D33" s="900"/>
      <c r="E33" s="901"/>
      <c r="F33" s="812"/>
      <c r="G33" s="812"/>
    </row>
    <row r="34" spans="1:7" ht="17.25" customHeight="1">
      <c r="A34" s="854" t="s">
        <v>240</v>
      </c>
      <c r="B34" s="838" t="s">
        <v>241</v>
      </c>
      <c r="C34" s="837" t="s">
        <v>203</v>
      </c>
      <c r="D34" s="855"/>
      <c r="E34" s="856"/>
      <c r="F34" s="812"/>
      <c r="G34" s="812"/>
    </row>
    <row r="35" spans="1:7" ht="20.25" customHeight="1">
      <c r="A35" s="854" t="s">
        <v>242</v>
      </c>
      <c r="B35" s="838" t="s">
        <v>243</v>
      </c>
      <c r="C35" s="837" t="s">
        <v>244</v>
      </c>
      <c r="D35" s="855"/>
      <c r="E35" s="856"/>
      <c r="F35" s="812"/>
      <c r="G35" s="812"/>
    </row>
    <row r="36" spans="1:7" ht="19.5" customHeight="1">
      <c r="A36" s="854" t="s">
        <v>292</v>
      </c>
      <c r="B36" s="838" t="s">
        <v>245</v>
      </c>
      <c r="C36" s="837" t="s">
        <v>244</v>
      </c>
      <c r="D36" s="855"/>
      <c r="E36" s="856"/>
      <c r="F36" s="812"/>
      <c r="G36" s="812"/>
    </row>
    <row r="37" spans="1:7" ht="13.5">
      <c r="A37" s="854" t="s">
        <v>293</v>
      </c>
      <c r="B37" s="838" t="s">
        <v>246</v>
      </c>
      <c r="C37" s="837" t="s">
        <v>201</v>
      </c>
      <c r="D37" s="855"/>
      <c r="E37" s="856"/>
      <c r="F37" s="812"/>
      <c r="G37" s="812"/>
    </row>
    <row r="38" spans="1:7" s="818" customFormat="1" ht="19.5" customHeight="1">
      <c r="A38" s="842" t="s">
        <v>68</v>
      </c>
      <c r="B38" s="846" t="s">
        <v>247</v>
      </c>
      <c r="C38" s="847"/>
      <c r="D38" s="848"/>
      <c r="E38" s="849"/>
      <c r="F38" s="812"/>
      <c r="G38" s="812"/>
    </row>
    <row r="39" spans="1:7" ht="17.25" customHeight="1">
      <c r="A39" s="899" t="s">
        <v>522</v>
      </c>
      <c r="B39" s="838" t="s">
        <v>248</v>
      </c>
      <c r="C39" s="837" t="s">
        <v>238</v>
      </c>
      <c r="D39" s="900"/>
      <c r="E39" s="901"/>
      <c r="F39" s="812"/>
      <c r="G39" s="812"/>
    </row>
    <row r="40" spans="1:7" ht="19.5" customHeight="1">
      <c r="A40" s="899"/>
      <c r="B40" s="838" t="s">
        <v>234</v>
      </c>
      <c r="C40" s="837" t="s">
        <v>239</v>
      </c>
      <c r="D40" s="900"/>
      <c r="E40" s="901"/>
      <c r="F40" s="812"/>
      <c r="G40" s="812"/>
    </row>
    <row r="41" spans="1:7" ht="19.5" customHeight="1">
      <c r="A41" s="899"/>
      <c r="B41" s="838" t="s">
        <v>221</v>
      </c>
      <c r="C41" s="837" t="s">
        <v>249</v>
      </c>
      <c r="D41" s="900"/>
      <c r="E41" s="901"/>
      <c r="F41" s="812"/>
      <c r="G41" s="812"/>
    </row>
    <row r="42" spans="1:7" ht="28.5" customHeight="1">
      <c r="A42" s="899" t="s">
        <v>250</v>
      </c>
      <c r="B42" s="838" t="s">
        <v>251</v>
      </c>
      <c r="C42" s="837" t="s">
        <v>252</v>
      </c>
      <c r="D42" s="900"/>
      <c r="E42" s="901"/>
      <c r="F42" s="812"/>
      <c r="G42" s="812"/>
    </row>
    <row r="43" spans="1:7" ht="16.5" customHeight="1">
      <c r="A43" s="899"/>
      <c r="B43" s="838" t="s">
        <v>234</v>
      </c>
      <c r="C43" s="837" t="s">
        <v>253</v>
      </c>
      <c r="D43" s="900"/>
      <c r="E43" s="901"/>
      <c r="F43" s="812"/>
      <c r="G43" s="812"/>
    </row>
    <row r="44" spans="1:7" ht="28.5" customHeight="1">
      <c r="A44" s="899"/>
      <c r="B44" s="838" t="s">
        <v>221</v>
      </c>
      <c r="C44" s="837" t="s">
        <v>294</v>
      </c>
      <c r="D44" s="900"/>
      <c r="E44" s="901"/>
      <c r="F44" s="812"/>
      <c r="G44" s="812"/>
    </row>
    <row r="45" spans="1:7" ht="27.75" customHeight="1">
      <c r="A45" s="899" t="s">
        <v>254</v>
      </c>
      <c r="B45" s="838" t="s">
        <v>255</v>
      </c>
      <c r="C45" s="837" t="s">
        <v>256</v>
      </c>
      <c r="D45" s="900"/>
      <c r="E45" s="901"/>
      <c r="F45" s="812"/>
      <c r="G45" s="812"/>
    </row>
    <row r="46" spans="1:7" ht="16.5" customHeight="1">
      <c r="A46" s="899"/>
      <c r="B46" s="838" t="s">
        <v>258</v>
      </c>
      <c r="C46" s="837" t="s">
        <v>257</v>
      </c>
      <c r="D46" s="900"/>
      <c r="E46" s="901"/>
      <c r="F46" s="812"/>
      <c r="G46" s="812"/>
    </row>
    <row r="47" spans="1:7" ht="17.25" customHeight="1">
      <c r="A47" s="854" t="s">
        <v>295</v>
      </c>
      <c r="B47" s="838" t="s">
        <v>259</v>
      </c>
      <c r="C47" s="837" t="s">
        <v>239</v>
      </c>
      <c r="D47" s="855"/>
      <c r="E47" s="856"/>
      <c r="F47" s="812"/>
      <c r="G47" s="812"/>
    </row>
    <row r="48" spans="1:7" ht="13.5" customHeight="1">
      <c r="A48" s="854" t="s">
        <v>296</v>
      </c>
      <c r="B48" s="838" t="s">
        <v>241</v>
      </c>
      <c r="C48" s="837" t="s">
        <v>202</v>
      </c>
      <c r="D48" s="855"/>
      <c r="E48" s="856"/>
      <c r="F48" s="812"/>
      <c r="G48" s="812"/>
    </row>
    <row r="49" spans="1:7" ht="18.75" customHeight="1">
      <c r="A49" s="854" t="s">
        <v>297</v>
      </c>
      <c r="B49" s="838" t="s">
        <v>243</v>
      </c>
      <c r="C49" s="837" t="s">
        <v>260</v>
      </c>
      <c r="D49" s="855"/>
      <c r="E49" s="856"/>
      <c r="F49" s="812"/>
      <c r="G49" s="812"/>
    </row>
    <row r="50" spans="1:7" ht="14.25" customHeight="1">
      <c r="A50" s="854" t="s">
        <v>298</v>
      </c>
      <c r="B50" s="838" t="s">
        <v>245</v>
      </c>
      <c r="C50" s="837" t="s">
        <v>260</v>
      </c>
      <c r="D50" s="855"/>
      <c r="E50" s="856"/>
      <c r="F50" s="812"/>
      <c r="G50" s="812"/>
    </row>
    <row r="51" spans="1:7" ht="13.5" customHeight="1">
      <c r="A51" s="854" t="s">
        <v>261</v>
      </c>
      <c r="B51" s="838" t="s">
        <v>262</v>
      </c>
      <c r="C51" s="837" t="s">
        <v>263</v>
      </c>
      <c r="D51" s="855"/>
      <c r="E51" s="856"/>
      <c r="F51" s="812"/>
      <c r="G51" s="812"/>
    </row>
    <row r="52" spans="1:7" ht="15.75" customHeight="1">
      <c r="A52" s="854" t="s">
        <v>264</v>
      </c>
      <c r="B52" s="838" t="s">
        <v>265</v>
      </c>
      <c r="C52" s="837" t="s">
        <v>266</v>
      </c>
      <c r="D52" s="855"/>
      <c r="E52" s="856"/>
      <c r="F52" s="812"/>
      <c r="G52" s="812"/>
    </row>
    <row r="53" spans="1:7" ht="16.5" customHeight="1">
      <c r="A53" s="854" t="s">
        <v>267</v>
      </c>
      <c r="B53" s="838" t="s">
        <v>268</v>
      </c>
      <c r="C53" s="837" t="s">
        <v>269</v>
      </c>
      <c r="D53" s="855"/>
      <c r="E53" s="856"/>
      <c r="F53" s="812"/>
      <c r="G53" s="812"/>
    </row>
    <row r="54" spans="1:7" ht="15" customHeight="1">
      <c r="A54" s="854" t="s">
        <v>299</v>
      </c>
      <c r="B54" s="838" t="s">
        <v>246</v>
      </c>
      <c r="C54" s="837" t="s">
        <v>201</v>
      </c>
      <c r="D54" s="855"/>
      <c r="E54" s="856"/>
      <c r="F54" s="812"/>
      <c r="G54" s="812"/>
    </row>
    <row r="55" spans="1:7" s="819" customFormat="1" ht="14.25" customHeight="1">
      <c r="A55" s="814" t="s">
        <v>69</v>
      </c>
      <c r="B55" s="347" t="s">
        <v>412</v>
      </c>
      <c r="C55" s="816" t="s">
        <v>272</v>
      </c>
      <c r="D55" s="810">
        <f>'ВСЕ раб'!H10</f>
        <v>5115.780455696203</v>
      </c>
      <c r="E55" s="811">
        <f>ROUND(D55/E$3/12,2)</f>
        <v>0.13</v>
      </c>
      <c r="F55" s="812"/>
      <c r="G55" s="813"/>
    </row>
    <row r="56" spans="1:7" s="819" customFormat="1" ht="18" customHeight="1">
      <c r="A56" s="814" t="s">
        <v>523</v>
      </c>
      <c r="B56" s="815" t="s">
        <v>503</v>
      </c>
      <c r="C56" s="816" t="s">
        <v>272</v>
      </c>
      <c r="D56" s="810">
        <f>'ВСЕ раб'!H21</f>
        <v>6106.031999999999</v>
      </c>
      <c r="E56" s="811">
        <f>D56/E$3/12</f>
        <v>0.15</v>
      </c>
      <c r="F56" s="812"/>
      <c r="G56" s="813"/>
    </row>
    <row r="57" spans="1:7" s="819" customFormat="1" ht="21.75" customHeight="1">
      <c r="A57" s="905" t="s">
        <v>382</v>
      </c>
      <c r="B57" s="906"/>
      <c r="C57" s="906"/>
      <c r="D57" s="906"/>
      <c r="E57" s="907"/>
      <c r="F57" s="812"/>
      <c r="G57" s="813"/>
    </row>
    <row r="58" spans="1:7" ht="29.25" customHeight="1">
      <c r="A58" s="814" t="s">
        <v>70</v>
      </c>
      <c r="B58" s="815" t="s">
        <v>290</v>
      </c>
      <c r="C58" s="816" t="s">
        <v>271</v>
      </c>
      <c r="D58" s="810">
        <f>профраб!I10</f>
        <v>1289.1107945205479</v>
      </c>
      <c r="E58" s="811">
        <f aca="true" t="shared" si="0" ref="E58:E66">ROUND(D58/E$3/12,2)</f>
        <v>0.03</v>
      </c>
      <c r="F58" s="812"/>
      <c r="G58" s="813"/>
    </row>
    <row r="59" spans="1:7" ht="15" customHeight="1">
      <c r="A59" s="814" t="s">
        <v>71</v>
      </c>
      <c r="B59" s="815" t="s">
        <v>275</v>
      </c>
      <c r="C59" s="816" t="s">
        <v>271</v>
      </c>
      <c r="D59" s="810">
        <f>профраб!I11+профраб!I12</f>
        <v>0</v>
      </c>
      <c r="E59" s="811">
        <f t="shared" si="0"/>
        <v>0</v>
      </c>
      <c r="F59" s="812"/>
      <c r="G59" s="813"/>
    </row>
    <row r="60" spans="1:7" ht="16.5" customHeight="1">
      <c r="A60" s="814" t="s">
        <v>72</v>
      </c>
      <c r="B60" s="815" t="s">
        <v>505</v>
      </c>
      <c r="C60" s="816" t="s">
        <v>271</v>
      </c>
      <c r="D60" s="810">
        <f>профраб!I13</f>
        <v>0</v>
      </c>
      <c r="E60" s="811">
        <f t="shared" si="0"/>
        <v>0</v>
      </c>
      <c r="F60" s="812"/>
      <c r="G60" s="813"/>
    </row>
    <row r="61" spans="1:7" ht="27.75" customHeight="1">
      <c r="A61" s="814" t="s">
        <v>392</v>
      </c>
      <c r="B61" s="815" t="s">
        <v>289</v>
      </c>
      <c r="C61" s="816" t="s">
        <v>271</v>
      </c>
      <c r="D61" s="810">
        <f>профраб!I14</f>
        <v>1447.659912328767</v>
      </c>
      <c r="E61" s="811">
        <f t="shared" si="0"/>
        <v>0.04</v>
      </c>
      <c r="F61" s="812"/>
      <c r="G61" s="813"/>
    </row>
    <row r="62" spans="1:7" ht="17.25" customHeight="1">
      <c r="A62" s="814" t="s">
        <v>393</v>
      </c>
      <c r="B62" s="815" t="s">
        <v>286</v>
      </c>
      <c r="C62" s="816" t="s">
        <v>271</v>
      </c>
      <c r="D62" s="810">
        <f>профраб!I15</f>
        <v>24908.900876712327</v>
      </c>
      <c r="E62" s="811">
        <f t="shared" si="0"/>
        <v>0.61</v>
      </c>
      <c r="F62" s="812"/>
      <c r="G62" s="813"/>
    </row>
    <row r="63" spans="1:7" ht="28.5" customHeight="1">
      <c r="A63" s="814" t="s">
        <v>394</v>
      </c>
      <c r="B63" s="815" t="s">
        <v>287</v>
      </c>
      <c r="C63" s="816" t="s">
        <v>271</v>
      </c>
      <c r="D63" s="810">
        <f>профраб!I16</f>
        <v>18280.534879561645</v>
      </c>
      <c r="E63" s="820">
        <f t="shared" si="0"/>
        <v>0.45</v>
      </c>
      <c r="F63" s="812"/>
      <c r="G63" s="813"/>
    </row>
    <row r="64" spans="1:7" ht="13.5" customHeight="1">
      <c r="A64" s="814" t="s">
        <v>524</v>
      </c>
      <c r="B64" s="815" t="s">
        <v>276</v>
      </c>
      <c r="C64" s="816" t="s">
        <v>271</v>
      </c>
      <c r="D64" s="810">
        <f>профраб!I17</f>
        <v>7668.482739726026</v>
      </c>
      <c r="E64" s="811">
        <f t="shared" si="0"/>
        <v>0.19</v>
      </c>
      <c r="F64" s="812"/>
      <c r="G64" s="813"/>
    </row>
    <row r="65" spans="1:7" s="819" customFormat="1" ht="21.75" customHeight="1">
      <c r="A65" s="902" t="s">
        <v>383</v>
      </c>
      <c r="B65" s="903"/>
      <c r="C65" s="903"/>
      <c r="D65" s="903"/>
      <c r="E65" s="904"/>
      <c r="F65" s="812"/>
      <c r="G65" s="813"/>
    </row>
    <row r="66" spans="1:7" s="812" customFormat="1" ht="14.25" customHeight="1">
      <c r="A66" s="854" t="s">
        <v>395</v>
      </c>
      <c r="B66" s="838" t="s">
        <v>270</v>
      </c>
      <c r="C66" s="837" t="s">
        <v>171</v>
      </c>
      <c r="D66" s="840">
        <f>'ВСЕ раб'!H17</f>
        <v>0</v>
      </c>
      <c r="E66" s="845">
        <f t="shared" si="0"/>
        <v>0</v>
      </c>
      <c r="G66" s="813"/>
    </row>
    <row r="67" spans="1:7" s="812" customFormat="1" ht="17.25" customHeight="1">
      <c r="A67" s="854" t="s">
        <v>396</v>
      </c>
      <c r="B67" s="838" t="s">
        <v>192</v>
      </c>
      <c r="C67" s="837" t="s">
        <v>271</v>
      </c>
      <c r="D67" s="810">
        <f>'ВСЕ раб'!H18</f>
        <v>5000</v>
      </c>
      <c r="E67" s="841">
        <f>D67/E$3/12</f>
        <v>0.12282935955789293</v>
      </c>
      <c r="G67" s="813"/>
    </row>
    <row r="68" spans="1:7" s="812" customFormat="1" ht="13.5">
      <c r="A68" s="854" t="s">
        <v>397</v>
      </c>
      <c r="B68" s="838" t="s">
        <v>504</v>
      </c>
      <c r="C68" s="837" t="s">
        <v>272</v>
      </c>
      <c r="D68" s="810">
        <f>'ВСЕ раб'!H19</f>
        <v>0</v>
      </c>
      <c r="E68" s="845">
        <f>D68/E$3/12</f>
        <v>0</v>
      </c>
      <c r="G68" s="813"/>
    </row>
    <row r="69" spans="1:7" s="812" customFormat="1" ht="18" customHeight="1">
      <c r="A69" s="854" t="s">
        <v>525</v>
      </c>
      <c r="B69" s="850" t="s">
        <v>498</v>
      </c>
      <c r="C69" s="837" t="s">
        <v>272</v>
      </c>
      <c r="D69" s="810">
        <f>'ВСЕ раб'!H20</f>
        <v>0</v>
      </c>
      <c r="E69" s="845">
        <f>D69/E$3/12</f>
        <v>0</v>
      </c>
      <c r="G69" s="813"/>
    </row>
    <row r="70" spans="1:7" s="818" customFormat="1" ht="16.5" customHeight="1">
      <c r="A70" s="842" t="s">
        <v>565</v>
      </c>
      <c r="B70" s="865" t="s">
        <v>285</v>
      </c>
      <c r="C70" s="847"/>
      <c r="D70" s="848"/>
      <c r="E70" s="866"/>
      <c r="F70" s="867"/>
      <c r="G70" s="868"/>
    </row>
    <row r="71" spans="1:7" ht="27.75" customHeight="1">
      <c r="A71" s="854" t="s">
        <v>566</v>
      </c>
      <c r="B71" s="838" t="s">
        <v>284</v>
      </c>
      <c r="C71" s="837" t="s">
        <v>271</v>
      </c>
      <c r="D71" s="840">
        <f>профраб!I28</f>
        <v>4880.550448219177</v>
      </c>
      <c r="E71" s="845">
        <f aca="true" t="shared" si="1" ref="E71:E87">ROUND(D71/E$3/12,2)</f>
        <v>0.12</v>
      </c>
      <c r="F71" s="812"/>
      <c r="G71" s="813"/>
    </row>
    <row r="72" spans="1:7" ht="28.5" customHeight="1">
      <c r="A72" s="854" t="s">
        <v>567</v>
      </c>
      <c r="B72" s="838" t="s">
        <v>280</v>
      </c>
      <c r="C72" s="837" t="s">
        <v>359</v>
      </c>
      <c r="D72" s="840">
        <f>профраб!I29</f>
        <v>2733.1163079452053</v>
      </c>
      <c r="E72" s="845">
        <f t="shared" si="1"/>
        <v>0.07</v>
      </c>
      <c r="F72" s="812"/>
      <c r="G72" s="813"/>
    </row>
    <row r="73" spans="1:7" ht="28.5" customHeight="1">
      <c r="A73" s="854" t="s">
        <v>568</v>
      </c>
      <c r="B73" s="838" t="s">
        <v>558</v>
      </c>
      <c r="C73" s="837" t="s">
        <v>271</v>
      </c>
      <c r="D73" s="840">
        <f>профраб!I30</f>
        <v>390.445186849315</v>
      </c>
      <c r="E73" s="845">
        <f t="shared" si="1"/>
        <v>0.01</v>
      </c>
      <c r="F73" s="812"/>
      <c r="G73" s="813"/>
    </row>
    <row r="74" spans="1:7" ht="27.75" customHeight="1">
      <c r="A74" s="854" t="s">
        <v>569</v>
      </c>
      <c r="B74" s="838" t="s">
        <v>274</v>
      </c>
      <c r="C74" s="837" t="s">
        <v>271</v>
      </c>
      <c r="D74" s="840">
        <f>профраб!I31</f>
        <v>62.15355616438355</v>
      </c>
      <c r="E74" s="845">
        <f t="shared" si="1"/>
        <v>0</v>
      </c>
      <c r="F74" s="812"/>
      <c r="G74" s="813"/>
    </row>
    <row r="75" spans="1:7" ht="26.25" customHeight="1">
      <c r="A75" s="854" t="s">
        <v>570</v>
      </c>
      <c r="B75" s="838" t="s">
        <v>380</v>
      </c>
      <c r="C75" s="837" t="s">
        <v>273</v>
      </c>
      <c r="D75" s="840">
        <f>профраб!I32+профраб!I33</f>
        <v>9370.684484383562</v>
      </c>
      <c r="E75" s="845">
        <f t="shared" si="1"/>
        <v>0.23</v>
      </c>
      <c r="F75" s="812"/>
      <c r="G75" s="813"/>
    </row>
    <row r="76" spans="1:7" ht="31.5" customHeight="1">
      <c r="A76" s="854" t="s">
        <v>571</v>
      </c>
      <c r="B76" s="838" t="s">
        <v>282</v>
      </c>
      <c r="C76" s="837" t="s">
        <v>171</v>
      </c>
      <c r="D76" s="840">
        <f>профраб!I34</f>
        <v>1035.892602739726</v>
      </c>
      <c r="E76" s="845">
        <f t="shared" si="1"/>
        <v>0.03</v>
      </c>
      <c r="F76" s="812"/>
      <c r="G76" s="813"/>
    </row>
    <row r="77" spans="1:7" ht="44.25" customHeight="1">
      <c r="A77" s="854" t="s">
        <v>572</v>
      </c>
      <c r="B77" s="838" t="s">
        <v>281</v>
      </c>
      <c r="C77" s="837" t="s">
        <v>273</v>
      </c>
      <c r="D77" s="840">
        <f>профраб!I35</f>
        <v>0</v>
      </c>
      <c r="E77" s="845">
        <f t="shared" si="1"/>
        <v>0</v>
      </c>
      <c r="F77" s="812"/>
      <c r="G77" s="813"/>
    </row>
    <row r="78" spans="1:7" ht="29.25" customHeight="1">
      <c r="A78" s="854" t="s">
        <v>573</v>
      </c>
      <c r="B78" s="838" t="s">
        <v>413</v>
      </c>
      <c r="C78" s="837" t="s">
        <v>171</v>
      </c>
      <c r="D78" s="840">
        <f>профраб!I36</f>
        <v>0</v>
      </c>
      <c r="E78" s="845">
        <f t="shared" si="1"/>
        <v>0</v>
      </c>
      <c r="F78" s="812"/>
      <c r="G78" s="813"/>
    </row>
    <row r="79" spans="1:7" ht="30" customHeight="1">
      <c r="A79" s="854" t="s">
        <v>574</v>
      </c>
      <c r="B79" s="838" t="s">
        <v>283</v>
      </c>
      <c r="C79" s="837" t="s">
        <v>171</v>
      </c>
      <c r="D79" s="840">
        <f>профраб!I37</f>
        <v>3123.56149479452</v>
      </c>
      <c r="E79" s="845">
        <f t="shared" si="1"/>
        <v>0.08</v>
      </c>
      <c r="F79" s="812"/>
      <c r="G79" s="813"/>
    </row>
    <row r="80" spans="1:7" s="63" customFormat="1" ht="18" customHeight="1">
      <c r="A80" s="851" t="s">
        <v>398</v>
      </c>
      <c r="B80" s="843" t="s">
        <v>385</v>
      </c>
      <c r="C80" s="853"/>
      <c r="D80" s="852"/>
      <c r="E80" s="845"/>
      <c r="G80" s="821"/>
    </row>
    <row r="81" spans="1:7" s="63" customFormat="1" ht="27" customHeight="1">
      <c r="A81" s="854" t="s">
        <v>559</v>
      </c>
      <c r="B81" s="838" t="str">
        <f>'[1]Проф раб'!C7</f>
        <v>Очистка техэтажей от мусора со сбором его в тару и отноской в установленное место</v>
      </c>
      <c r="C81" s="837" t="s">
        <v>271</v>
      </c>
      <c r="D81" s="840">
        <f>профраб!I7</f>
        <v>1171.335560547945</v>
      </c>
      <c r="E81" s="845">
        <f t="shared" si="1"/>
        <v>0.03</v>
      </c>
      <c r="G81" s="821"/>
    </row>
    <row r="82" spans="1:7" ht="21.75" customHeight="1">
      <c r="A82" s="854" t="s">
        <v>560</v>
      </c>
      <c r="B82" s="838" t="s">
        <v>168</v>
      </c>
      <c r="C82" s="837" t="s">
        <v>271</v>
      </c>
      <c r="D82" s="840">
        <f>профраб!I8</f>
        <v>2226.0296140273967</v>
      </c>
      <c r="E82" s="845">
        <f t="shared" si="1"/>
        <v>0.05</v>
      </c>
      <c r="F82" s="812"/>
      <c r="G82" s="813"/>
    </row>
    <row r="83" spans="1:7" ht="21" customHeight="1">
      <c r="A83" s="854" t="s">
        <v>561</v>
      </c>
      <c r="B83" s="838" t="s">
        <v>169</v>
      </c>
      <c r="C83" s="837" t="s">
        <v>271</v>
      </c>
      <c r="D83" s="840">
        <f>профраб!I9</f>
        <v>2226.0296140273967</v>
      </c>
      <c r="E83" s="845">
        <f t="shared" si="1"/>
        <v>0.05</v>
      </c>
      <c r="F83" s="812"/>
      <c r="G83" s="813"/>
    </row>
    <row r="84" spans="1:7" ht="13.5">
      <c r="A84" s="854" t="s">
        <v>562</v>
      </c>
      <c r="B84" s="838" t="s">
        <v>115</v>
      </c>
      <c r="C84" s="837" t="s">
        <v>205</v>
      </c>
      <c r="D84" s="840">
        <f>профраб!I18</f>
        <v>4845.483565296803</v>
      </c>
      <c r="E84" s="845">
        <f t="shared" si="1"/>
        <v>0.12</v>
      </c>
      <c r="F84" s="812"/>
      <c r="G84" s="813"/>
    </row>
    <row r="85" spans="1:7" ht="16.5" customHeight="1">
      <c r="A85" s="854" t="s">
        <v>563</v>
      </c>
      <c r="B85" s="838" t="s">
        <v>120</v>
      </c>
      <c r="C85" s="837" t="s">
        <v>271</v>
      </c>
      <c r="D85" s="840">
        <f>профраб!I19</f>
        <v>2834.17</v>
      </c>
      <c r="E85" s="845">
        <f t="shared" si="1"/>
        <v>0.07</v>
      </c>
      <c r="F85" s="812"/>
      <c r="G85" s="813"/>
    </row>
    <row r="86" spans="1:7" ht="18.75" customHeight="1">
      <c r="A86" s="854" t="s">
        <v>564</v>
      </c>
      <c r="B86" s="838" t="s">
        <v>288</v>
      </c>
      <c r="C86" s="837" t="s">
        <v>271</v>
      </c>
      <c r="D86" s="840">
        <f>профраб!I20</f>
        <v>466.1516712328767</v>
      </c>
      <c r="E86" s="845">
        <f t="shared" si="1"/>
        <v>0.01</v>
      </c>
      <c r="F86" s="812"/>
      <c r="G86" s="813"/>
    </row>
    <row r="87" spans="1:7" ht="21" customHeight="1">
      <c r="A87" s="854" t="s">
        <v>554</v>
      </c>
      <c r="B87" s="838" t="s">
        <v>402</v>
      </c>
      <c r="C87" s="837" t="s">
        <v>553</v>
      </c>
      <c r="D87" s="840"/>
      <c r="E87" s="845">
        <f t="shared" si="1"/>
        <v>0</v>
      </c>
      <c r="F87" s="812"/>
      <c r="G87" s="813"/>
    </row>
    <row r="88" spans="1:7" s="819" customFormat="1" ht="21" customHeight="1">
      <c r="A88" s="908" t="s">
        <v>384</v>
      </c>
      <c r="B88" s="909"/>
      <c r="C88" s="909"/>
      <c r="D88" s="909"/>
      <c r="E88" s="910"/>
      <c r="F88" s="812"/>
      <c r="G88" s="813"/>
    </row>
    <row r="89" spans="1:7" s="812" customFormat="1" ht="26.25">
      <c r="A89" s="854" t="s">
        <v>529</v>
      </c>
      <c r="B89" s="864" t="s">
        <v>403</v>
      </c>
      <c r="C89" s="837" t="s">
        <v>272</v>
      </c>
      <c r="D89" s="870">
        <f>'ВСЕ раб'!H27</f>
        <v>2800</v>
      </c>
      <c r="E89" s="845">
        <f aca="true" t="shared" si="2" ref="E89:E94">ROUND(D89/E$3/12,2)</f>
        <v>0.07</v>
      </c>
      <c r="G89" s="813"/>
    </row>
    <row r="90" spans="1:7" s="819" customFormat="1" ht="21.75" customHeight="1">
      <c r="A90" s="854" t="s">
        <v>514</v>
      </c>
      <c r="B90" s="347" t="s">
        <v>512</v>
      </c>
      <c r="C90" s="837" t="s">
        <v>291</v>
      </c>
      <c r="D90" s="870">
        <f>'ВСЕ раб'!H28</f>
        <v>7700</v>
      </c>
      <c r="E90" s="845">
        <f>ROUND(D90/E$3/12,2)</f>
        <v>0.19</v>
      </c>
      <c r="F90" s="812"/>
      <c r="G90" s="813"/>
    </row>
    <row r="91" spans="1:7" s="819" customFormat="1" ht="19.5" customHeight="1">
      <c r="A91" s="854" t="s">
        <v>530</v>
      </c>
      <c r="B91" s="347" t="s">
        <v>556</v>
      </c>
      <c r="C91" s="837" t="s">
        <v>272</v>
      </c>
      <c r="D91" s="870">
        <f>'ВСЕ раб'!H29</f>
        <v>6185</v>
      </c>
      <c r="E91" s="845">
        <f t="shared" si="2"/>
        <v>0.15</v>
      </c>
      <c r="F91" s="812"/>
      <c r="G91" s="813"/>
    </row>
    <row r="92" spans="1:7" s="819" customFormat="1" ht="15" customHeight="1">
      <c r="A92" s="854" t="s">
        <v>531</v>
      </c>
      <c r="B92" s="347" t="s">
        <v>437</v>
      </c>
      <c r="C92" s="837" t="s">
        <v>272</v>
      </c>
      <c r="D92" s="870">
        <f>'ВСЕ раб'!H30</f>
        <v>4124</v>
      </c>
      <c r="E92" s="845">
        <f t="shared" si="2"/>
        <v>0.1</v>
      </c>
      <c r="F92" s="812"/>
      <c r="G92" s="813"/>
    </row>
    <row r="93" spans="1:7" s="819" customFormat="1" ht="18" customHeight="1">
      <c r="A93" s="814" t="s">
        <v>548</v>
      </c>
      <c r="B93" s="347" t="s">
        <v>436</v>
      </c>
      <c r="C93" s="837" t="s">
        <v>272</v>
      </c>
      <c r="D93" s="870">
        <f>'ВСЕ раб'!H31</f>
        <v>48084</v>
      </c>
      <c r="E93" s="811">
        <f t="shared" si="2"/>
        <v>1.18</v>
      </c>
      <c r="F93" s="812"/>
      <c r="G93" s="813"/>
    </row>
    <row r="94" spans="1:7" ht="21.75" customHeight="1" thickBot="1">
      <c r="A94" s="822"/>
      <c r="B94" s="823" t="s">
        <v>277</v>
      </c>
      <c r="C94" s="824"/>
      <c r="D94" s="825">
        <f>D5+D15+D17+D55+D56+D58+D59+D60+D61+D62+D63+D64+D66+D67+D68+D69+D71+D72+D73+D74+D75+D76+D77+D78+D79+D81+D82+D83+D84+D85+D86+D87+D89+D90+D91+D92+D93</f>
        <v>412308.6981228183</v>
      </c>
      <c r="E94" s="826">
        <f t="shared" si="2"/>
        <v>10.13</v>
      </c>
      <c r="F94" s="869"/>
      <c r="G94" s="813"/>
    </row>
    <row r="95" spans="1:5" ht="12.75">
      <c r="A95" s="827"/>
      <c r="B95" s="828"/>
      <c r="C95" s="829"/>
      <c r="D95" s="829"/>
      <c r="E95" s="830"/>
    </row>
    <row r="96" spans="1:5" ht="12.75">
      <c r="A96" s="831"/>
      <c r="E96" s="833"/>
    </row>
    <row r="97" ht="12.75">
      <c r="E97" s="835"/>
    </row>
    <row r="98" spans="5:7" ht="12.75">
      <c r="E98" s="835"/>
      <c r="G98" s="836"/>
    </row>
    <row r="100" ht="12.75">
      <c r="G100" s="836"/>
    </row>
  </sheetData>
  <sheetProtection/>
  <mergeCells count="33">
    <mergeCell ref="A65:E65"/>
    <mergeCell ref="A39:A41"/>
    <mergeCell ref="D39:D41"/>
    <mergeCell ref="E39:E41"/>
    <mergeCell ref="A57:E57"/>
    <mergeCell ref="A42:A44"/>
    <mergeCell ref="D42:D44"/>
    <mergeCell ref="E42:E44"/>
    <mergeCell ref="D31:D33"/>
    <mergeCell ref="E31:E33"/>
    <mergeCell ref="A28:A30"/>
    <mergeCell ref="A88:E88"/>
    <mergeCell ref="A45:A46"/>
    <mergeCell ref="D45:D46"/>
    <mergeCell ref="E45:E46"/>
    <mergeCell ref="D28:D30"/>
    <mergeCell ref="E28:E30"/>
    <mergeCell ref="A31:A33"/>
    <mergeCell ref="A26:A27"/>
    <mergeCell ref="D26:D27"/>
    <mergeCell ref="E26:E27"/>
    <mergeCell ref="A21:A23"/>
    <mergeCell ref="D21:D23"/>
    <mergeCell ref="E21:E23"/>
    <mergeCell ref="A24:A25"/>
    <mergeCell ref="D24:D25"/>
    <mergeCell ref="E24:E25"/>
    <mergeCell ref="A1:E1"/>
    <mergeCell ref="A19:A20"/>
    <mergeCell ref="D19:D20"/>
    <mergeCell ref="E19:E20"/>
    <mergeCell ref="A16:E16"/>
    <mergeCell ref="A4:E4"/>
  </mergeCells>
  <printOptions/>
  <pageMargins left="0.51" right="0.3937007874015748" top="0.38" bottom="0.5905511811023623" header="0.31496062992125984" footer="0.31496062992125984"/>
  <pageSetup horizontalDpi="600" verticalDpi="600" orientation="portrait" paperSize="9" scale="75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2014-12-23T12:14:24Z</cp:lastPrinted>
  <dcterms:created xsi:type="dcterms:W3CDTF">2007-07-20T13:26:54Z</dcterms:created>
  <dcterms:modified xsi:type="dcterms:W3CDTF">2015-01-30T12:20:11Z</dcterms:modified>
  <cp:category/>
  <cp:version/>
  <cp:contentType/>
  <cp:contentStatus/>
</cp:coreProperties>
</file>