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32" windowWidth="11340" windowHeight="5688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Гр 36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5">'Гр 36'!$2:$2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4">'ВСЕ раб'!$A$1:$O$32</definedName>
    <definedName name="_xlnm.Print_Area" localSheetId="3">'профраб'!$A$1:$J$43</definedName>
    <definedName name="_xlnm.Print_Area" localSheetId="1">'сан содерж'!$A$1:$K$61</definedName>
    <definedName name="_xlnm.Print_Area" localSheetId="2">'спец инв'!$A$1:$K$101</definedName>
  </definedNames>
  <calcPr fullCalcOnLoad="1"/>
</workbook>
</file>

<file path=xl/sharedStrings.xml><?xml version="1.0" encoding="utf-8"?>
<sst xmlns="http://schemas.openxmlformats.org/spreadsheetml/2006/main" count="959" uniqueCount="578">
  <si>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</si>
  <si>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</si>
  <si>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</si>
  <si>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</si>
  <si>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</si>
  <si>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</si>
  <si>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</si>
  <si>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</si>
  <si>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</si>
  <si>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</si>
  <si>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</si>
  <si>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</si>
  <si>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</si>
  <si>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</si>
  <si>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</si>
  <si>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</si>
  <si>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</si>
  <si>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</si>
  <si>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</si>
  <si>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</si>
  <si>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</si>
  <si>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</si>
  <si>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</si>
  <si>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</si>
  <si>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</si>
  <si>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</si>
  <si>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</si>
  <si>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</si>
  <si>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</si>
  <si>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</si>
  <si>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</si>
  <si>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</si>
  <si>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</si>
  <si>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</si>
  <si>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</si>
  <si>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</si>
  <si>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</si>
  <si>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</si>
  <si>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</si>
  <si>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</si>
  <si>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</si>
  <si>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</si>
  <si>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</si>
  <si>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</si>
  <si>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</si>
  <si>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</si>
  <si>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</si>
  <si>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</si>
  <si>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</si>
  <si>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</si>
  <si>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</si>
  <si>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</si>
  <si>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</si>
  <si>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</si>
  <si>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</si>
  <si>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</si>
  <si>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</si>
  <si>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</si>
  <si>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</si>
  <si>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</si>
  <si>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</si>
  <si>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</si>
  <si>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</si>
  <si>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</si>
  <si>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</si>
  <si>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</si>
  <si>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</si>
  <si>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</si>
  <si>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</si>
  <si>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</si>
  <si>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</si>
  <si>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</si>
  <si>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</si>
  <si>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</si>
  <si>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</si>
  <si>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</si>
  <si>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</si>
  <si>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</si>
  <si>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</si>
  <si>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</si>
  <si>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</si>
  <si>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</si>
  <si>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</si>
  <si>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</si>
  <si>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</si>
  <si>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</si>
  <si>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</si>
  <si>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</si>
  <si>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</si>
  <si>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</si>
  <si>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</si>
  <si>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</si>
  <si>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</si>
  <si>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</si>
  <si>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</si>
  <si>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</si>
  <si>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</si>
  <si>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</si>
  <si>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</si>
  <si>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</si>
  <si>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</si>
  <si>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</si>
  <si>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</si>
  <si>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</si>
  <si>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</si>
  <si>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</si>
  <si>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</si>
  <si>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</si>
  <si>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</si>
  <si>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</si>
  <si>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</si>
  <si>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</si>
  <si>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</si>
  <si>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</si>
  <si>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</si>
  <si>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</si>
  <si>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</si>
  <si>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</si>
  <si>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</si>
  <si>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</si>
  <si>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</si>
  <si>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</si>
  <si>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</si>
  <si>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</si>
  <si>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</si>
  <si>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</si>
  <si>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</si>
  <si>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</si>
  <si>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</si>
  <si>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</si>
  <si>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</si>
  <si>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</si>
  <si>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</si>
  <si>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</si>
  <si>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</si>
  <si>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</si>
  <si>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</si>
  <si>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</si>
  <si>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</si>
  <si>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</si>
  <si>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</si>
  <si>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</si>
  <si>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</si>
  <si>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</si>
  <si>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</si>
  <si>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</si>
  <si>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</si>
  <si>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</si>
  <si>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</si>
  <si>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</si>
  <si>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</si>
  <si>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</si>
  <si>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</si>
  <si>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</si>
  <si>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</si>
  <si>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</si>
  <si>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</si>
  <si>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</si>
  <si>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</si>
  <si>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</si>
  <si>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</si>
  <si>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</si>
  <si>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</si>
  <si>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</si>
  <si>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</si>
  <si>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</si>
  <si>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</si>
  <si>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</si>
  <si>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</si>
  <si>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</si>
  <si>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</si>
  <si>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</si>
  <si>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</si>
  <si>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</si>
  <si>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</si>
  <si>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</si>
  <si>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</si>
  <si>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</si>
  <si>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</si>
  <si>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</si>
  <si>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</si>
  <si>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</si>
  <si>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</si>
  <si>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</si>
  <si>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</si>
  <si>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</si>
  <si>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</si>
  <si>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</si>
  <si>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</si>
  <si>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</si>
  <si>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</si>
  <si>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</si>
  <si>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</si>
  <si>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</si>
  <si>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</si>
  <si>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</si>
  <si>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</si>
  <si>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</si>
  <si>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</si>
  <si>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</si>
  <si>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</si>
  <si>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</si>
  <si>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</si>
  <si>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</si>
  <si>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</si>
  <si>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</si>
  <si>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</si>
  <si>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</si>
  <si>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</si>
  <si>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</si>
  <si>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</si>
  <si>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</si>
  <si>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</si>
  <si>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</si>
  <si>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</si>
  <si>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</si>
  <si>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</si>
  <si>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</si>
  <si>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</si>
  <si>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</si>
  <si>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</si>
  <si>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</si>
  <si>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</si>
  <si>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</si>
  <si>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</si>
  <si>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</si>
  <si>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</si>
  <si>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</si>
  <si>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</si>
  <si>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</si>
  <si>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</si>
  <si>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</si>
  <si>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</si>
  <si>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</si>
  <si>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</si>
  <si>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</si>
  <si>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</si>
  <si>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</si>
  <si>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</si>
  <si>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</si>
  <si>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</si>
  <si>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</si>
  <si>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</si>
  <si>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</si>
  <si>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</si>
  <si>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</si>
  <si>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</si>
  <si>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</si>
  <si>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</si>
  <si>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</si>
  <si>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</si>
  <si>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</si>
  <si>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</si>
  <si>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</si>
  <si>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</si>
  <si>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</si>
  <si>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</si>
  <si>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</si>
  <si>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</si>
  <si>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</si>
  <si>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</si>
  <si>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</si>
  <si>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</si>
  <si>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</si>
  <si>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</si>
  <si>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</si>
  <si>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</si>
  <si>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</si>
  <si>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</si>
  <si>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</si>
  <si>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</si>
  <si>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</si>
  <si>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</si>
  <si>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</si>
  <si>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</si>
  <si>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</si>
  <si>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</si>
  <si>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</si>
  <si>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</si>
  <si>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</si>
  <si>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</si>
  <si>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</si>
  <si>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</si>
  <si>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</si>
  <si>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</si>
  <si>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</si>
  <si>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</si>
  <si>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</si>
  <si>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</si>
  <si>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</si>
  <si>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</si>
  <si>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</si>
  <si>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</si>
  <si>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</si>
  <si>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</si>
  <si>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</si>
  <si>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</si>
  <si>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</si>
  <si>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</si>
  <si>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</si>
  <si>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</si>
  <si>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</si>
  <si>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</si>
  <si>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</si>
  <si>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</si>
  <si>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</si>
  <si>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</si>
  <si>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</si>
  <si>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</si>
  <si>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</si>
  <si>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</si>
  <si>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</si>
  <si>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</si>
  <si>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</si>
  <si>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</si>
  <si>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</si>
  <si>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</si>
  <si>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</si>
  <si>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</si>
  <si>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</si>
  <si>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</si>
  <si>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</si>
  <si>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</si>
  <si>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</si>
  <si>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</si>
  <si>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</si>
  <si>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</si>
  <si>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</si>
  <si>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</si>
  <si>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</si>
  <si>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</si>
  <si>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</si>
  <si>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</si>
  <si>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</si>
  <si>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</si>
  <si>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</si>
  <si>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</si>
  <si>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</si>
  <si>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</si>
  <si>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</si>
  <si>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</si>
  <si>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</si>
  <si>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</si>
  <si>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</si>
  <si>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</si>
  <si>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</si>
  <si>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</si>
  <si>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</si>
  <si>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</si>
  <si>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</si>
  <si>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</si>
  <si>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</si>
  <si>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</si>
  <si>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</si>
  <si>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</si>
  <si>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</si>
  <si>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</si>
  <si>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</si>
  <si>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</si>
  <si>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</si>
  <si>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</si>
  <si>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</si>
  <si>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</si>
  <si>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</si>
  <si>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</si>
  <si>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</si>
  <si>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</si>
  <si>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</si>
  <si>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</si>
  <si>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</si>
  <si>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</si>
  <si>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</si>
  <si>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</si>
  <si>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</si>
  <si>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</si>
  <si>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</si>
  <si>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</si>
  <si>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</si>
  <si>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</si>
  <si>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</si>
  <si>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</si>
  <si>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</si>
  <si>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</si>
  <si>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</si>
  <si>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</si>
  <si>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</si>
  <si>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</si>
  <si>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</si>
  <si>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</si>
  <si>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</si>
  <si>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</si>
  <si>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</si>
  <si>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</si>
  <si>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</si>
  <si>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</si>
  <si>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</si>
  <si>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</si>
  <si>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</si>
  <si>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</si>
  <si>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</si>
  <si>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</si>
  <si>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</si>
  <si>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</si>
  <si>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</si>
  <si>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</si>
  <si>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</si>
  <si>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</si>
  <si>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</si>
  <si>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</si>
  <si>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</si>
  <si>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</si>
  <si>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</si>
  <si>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</si>
  <si>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</si>
  <si>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Осмотр линий электрических сетей, арматуры, электрооборудования  в жилых помещениях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</si>
  <si>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</si>
  <si>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</si>
  <si>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</si>
  <si>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</si>
  <si>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</si>
  <si>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</si>
  <si>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</si>
  <si>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</si>
  <si>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</si>
  <si>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</si>
  <si>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</si>
  <si>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</si>
  <si>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</si>
  <si>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</si>
  <si>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</si>
  <si>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</si>
  <si>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</si>
  <si>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</si>
  <si>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</si>
  <si>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</si>
  <si>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</si>
  <si>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</si>
  <si>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</si>
  <si>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</si>
  <si>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</si>
  <si>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</si>
  <si>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</si>
  <si>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</si>
  <si>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</si>
  <si>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</si>
  <si>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</si>
  <si>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</si>
  <si>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</si>
  <si>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</si>
  <si>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</si>
  <si>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</si>
  <si>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</si>
  <si>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</si>
  <si>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</si>
  <si>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</si>
  <si>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</si>
  <si>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</si>
  <si>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</si>
  <si>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</si>
  <si>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</si>
  <si>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</si>
  <si>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</si>
  <si>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</si>
  <si>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</si>
  <si>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</si>
  <si>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</si>
  <si>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</si>
  <si>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</si>
  <si>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</si>
  <si>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</si>
  <si>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</si>
  <si>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</si>
  <si>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</si>
  <si>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</si>
  <si>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</si>
  <si>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</si>
  <si>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</si>
  <si>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</si>
  <si>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</si>
  <si>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</si>
  <si>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</si>
  <si>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</si>
  <si>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</si>
  <si>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</si>
  <si>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</si>
  <si>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</si>
  <si>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</si>
  <si>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</si>
  <si>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</si>
  <si>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</si>
  <si>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</si>
  <si>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</si>
  <si>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</si>
  <si>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</si>
  <si>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</si>
  <si>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</si>
  <si>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</si>
  <si>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</si>
  <si>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Сводная таблица "Содержание жилого дома по  видам работ"</t>
  </si>
  <si>
    <t>Вывоз крупногабаритного мусора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</si>
  <si>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</si>
  <si>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</si>
  <si>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</si>
  <si>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</si>
  <si>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</si>
  <si>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</si>
  <si>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</si>
  <si>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</si>
  <si>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</si>
  <si>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</si>
  <si>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</si>
  <si>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</si>
  <si>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</si>
  <si>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</si>
  <si>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</si>
  <si>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</si>
  <si>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</si>
  <si>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</si>
  <si>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</si>
  <si>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</si>
  <si>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</si>
  <si>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</si>
  <si>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</si>
  <si>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Тротуарная плитка</t>
  </si>
  <si>
    <t>5.1</t>
  </si>
  <si>
    <t>5.3</t>
  </si>
  <si>
    <t>5.4</t>
  </si>
  <si>
    <t>Утверждаю</t>
  </si>
  <si>
    <t>Директор ООО УК "Сириус"</t>
  </si>
  <si>
    <t>____________</t>
  </si>
  <si>
    <t>Орлов Г.А.</t>
  </si>
  <si>
    <t>итого</t>
  </si>
  <si>
    <t>надбавка</t>
  </si>
  <si>
    <t>сантехник</t>
  </si>
  <si>
    <t>Влажное подметание лестничных площадок и маршей  1 и 2 этажа</t>
  </si>
  <si>
    <t>Влажное подметание лестничных площадок и маршей выше 2-го этажа</t>
  </si>
  <si>
    <t>1.7.</t>
  </si>
  <si>
    <t>1.10.</t>
  </si>
  <si>
    <t>1.8.</t>
  </si>
  <si>
    <t>Мытье пола кабины лифта</t>
  </si>
  <si>
    <t>ежедневно</t>
  </si>
  <si>
    <t>1.9.</t>
  </si>
  <si>
    <t>Влажная протирка стен, дверей, плафонов и потолков кабины лифта</t>
  </si>
  <si>
    <t>5.5</t>
  </si>
  <si>
    <t>Общие и частичные осмотры системы цетрального отопления в технических помещениях в летний период</t>
  </si>
  <si>
    <t>4.4.2.</t>
  </si>
  <si>
    <t>Аварийное обслуживание</t>
  </si>
  <si>
    <t>Расчет численности (нормативное)</t>
  </si>
  <si>
    <t>4.3</t>
  </si>
  <si>
    <t>4.4.1.</t>
  </si>
  <si>
    <t>4.4.3</t>
  </si>
  <si>
    <t>4.4.4</t>
  </si>
  <si>
    <t>4.4.5</t>
  </si>
  <si>
    <t>4.4.6</t>
  </si>
  <si>
    <t>4.4.7</t>
  </si>
  <si>
    <t>4.4.8</t>
  </si>
  <si>
    <t>4.4.9</t>
  </si>
  <si>
    <t>4.5</t>
  </si>
  <si>
    <t>4.5.1</t>
  </si>
  <si>
    <t>4.5.2</t>
  </si>
  <si>
    <t>4.5.3</t>
  </si>
  <si>
    <t>4.5.4</t>
  </si>
  <si>
    <t>4.5.5</t>
  </si>
  <si>
    <t>4.5.6.</t>
  </si>
  <si>
    <t>4.5.7</t>
  </si>
  <si>
    <t>Перечень работ и услуг по содержанию и текущему ремонту общего имущества многоквартирного дома по адресу: ул. Гражданский, д.36</t>
  </si>
  <si>
    <t>5.6</t>
  </si>
  <si>
    <t>тротуарная плитка</t>
  </si>
  <si>
    <t xml:space="preserve">Непредвиденные работы по текущему ремонту общего имущества жилого дома </t>
  </si>
  <si>
    <t>Комиссия банка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</si>
  <si>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</si>
  <si>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По договору</t>
  </si>
  <si>
    <t>Коэф невыходов (на отпуск, б/л, прочие)</t>
  </si>
  <si>
    <t>Коэффициент невыходов = 1,12</t>
  </si>
  <si>
    <t>Примечание: Гр.8 рассчитывается: з/п рабочего со всеми надбавками / кол-во часов (164,25) * норму времени (челчас) по приказу  139 * % страховых взносов</t>
  </si>
  <si>
    <t>Экономическое обоснование ООО УК "Сириус"платы на содержание жилья
 и прилегающей территории на  2015 г.</t>
  </si>
  <si>
    <t>Исходные данные  дома по  пр. Гражданский, д.36</t>
  </si>
  <si>
    <t xml:space="preserve">Всего численность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</si>
</sst>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</numFmts>
  <fonts count="7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8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5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2" fontId="2" fillId="0" borderId="58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9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7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/>
    </xf>
    <xf numFmtId="2" fontId="11" fillId="36" borderId="60" xfId="0" applyNumberFormat="1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3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1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5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70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4" fontId="2" fillId="35" borderId="58" xfId="0" applyNumberFormat="1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9" fillId="0" borderId="37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wrapText="1"/>
    </xf>
    <xf numFmtId="0" fontId="22" fillId="35" borderId="17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center" wrapText="1"/>
    </xf>
    <xf numFmtId="4" fontId="22" fillId="35" borderId="39" xfId="0" applyNumberFormat="1" applyFont="1" applyFill="1" applyBorder="1" applyAlignment="1">
      <alignment horizontal="center" wrapText="1"/>
    </xf>
    <xf numFmtId="4" fontId="22" fillId="35" borderId="17" xfId="0" applyNumberFormat="1" applyFont="1" applyFill="1" applyBorder="1" applyAlignment="1">
      <alignment horizontal="center" wrapText="1"/>
    </xf>
    <xf numFmtId="4" fontId="22" fillId="35" borderId="41" xfId="0" applyNumberFormat="1" applyFont="1" applyFill="1" applyBorder="1" applyAlignment="1">
      <alignment horizontal="center" wrapText="1"/>
    </xf>
    <xf numFmtId="0" fontId="21" fillId="35" borderId="44" xfId="0" applyFont="1" applyFill="1" applyBorder="1" applyAlignment="1">
      <alignment horizontal="center" wrapText="1"/>
    </xf>
    <xf numFmtId="4" fontId="24" fillId="35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5" borderId="17" xfId="0" applyNumberFormat="1" applyFont="1" applyFill="1" applyBorder="1" applyAlignment="1">
      <alignment horizontal="center" wrapText="1"/>
    </xf>
    <xf numFmtId="4" fontId="24" fillId="35" borderId="39" xfId="0" applyNumberFormat="1" applyFont="1" applyFill="1" applyBorder="1" applyAlignment="1">
      <alignment horizontal="center" wrapText="1"/>
    </xf>
    <xf numFmtId="4" fontId="24" fillId="35" borderId="17" xfId="0" applyNumberFormat="1" applyFont="1" applyFill="1" applyBorder="1" applyAlignment="1">
      <alignment horizontal="center" wrapText="1"/>
    </xf>
    <xf numFmtId="4" fontId="24" fillId="35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4" fontId="32" fillId="0" borderId="37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32" fillId="0" borderId="40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wrapText="1"/>
    </xf>
    <xf numFmtId="4" fontId="21" fillId="0" borderId="65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2" borderId="4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9" fillId="0" borderId="79" xfId="0" applyNumberFormat="1" applyFont="1" applyFill="1" applyBorder="1" applyAlignment="1">
      <alignment horizontal="center" wrapText="1"/>
    </xf>
    <xf numFmtId="4" fontId="31" fillId="0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9" fillId="0" borderId="37" xfId="0" applyNumberFormat="1" applyFont="1" applyFill="1" applyBorder="1" applyAlignment="1">
      <alignment horizontal="center" wrapText="1"/>
    </xf>
    <xf numFmtId="4" fontId="31" fillId="0" borderId="13" xfId="0" applyNumberFormat="1" applyFont="1" applyFill="1" applyBorder="1" applyAlignment="1">
      <alignment horizontal="center" wrapText="1"/>
    </xf>
    <xf numFmtId="4" fontId="29" fillId="0" borderId="13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2" fillId="0" borderId="22" xfId="0" applyFont="1" applyFill="1" applyBorder="1" applyAlignment="1">
      <alignment horizontal="center" wrapText="1"/>
    </xf>
    <xf numFmtId="4" fontId="29" fillId="0" borderId="36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5" fillId="32" borderId="39" xfId="0" applyFont="1" applyFill="1" applyBorder="1" applyAlignment="1">
      <alignment wrapText="1"/>
    </xf>
    <xf numFmtId="0" fontId="22" fillId="32" borderId="17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4" fontId="22" fillId="32" borderId="39" xfId="0" applyNumberFormat="1" applyFont="1" applyFill="1" applyBorder="1" applyAlignment="1">
      <alignment horizontal="center"/>
    </xf>
    <xf numFmtId="4" fontId="22" fillId="32" borderId="17" xfId="0" applyNumberFormat="1" applyFont="1" applyFill="1" applyBorder="1" applyAlignment="1">
      <alignment horizontal="center"/>
    </xf>
    <xf numFmtId="4" fontId="22" fillId="32" borderId="41" xfId="0" applyNumberFormat="1" applyFont="1" applyFill="1" applyBorder="1" applyAlignment="1">
      <alignment horizontal="center"/>
    </xf>
    <xf numFmtId="4" fontId="24" fillId="32" borderId="44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37" xfId="0" applyFont="1" applyBorder="1" applyAlignment="1">
      <alignment horizontal="center" wrapText="1"/>
    </xf>
    <xf numFmtId="4" fontId="33" fillId="0" borderId="13" xfId="0" applyNumberFormat="1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29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9" fillId="0" borderId="76" xfId="0" applyNumberFormat="1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2" fillId="0" borderId="75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35" borderId="39" xfId="0" applyFont="1" applyFill="1" applyBorder="1" applyAlignment="1">
      <alignment wrapText="1"/>
    </xf>
    <xf numFmtId="0" fontId="22" fillId="35" borderId="41" xfId="0" applyFont="1" applyFill="1" applyBorder="1" applyAlignment="1">
      <alignment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5" fillId="35" borderId="17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2" fontId="25" fillId="0" borderId="50" xfId="0" applyNumberFormat="1" applyFont="1" applyBorder="1" applyAlignment="1">
      <alignment horizontal="center" vertical="top" wrapText="1"/>
    </xf>
    <xf numFmtId="170" fontId="25" fillId="0" borderId="50" xfId="0" applyNumberFormat="1" applyFont="1" applyBorder="1" applyAlignment="1">
      <alignment horizontal="center" vertical="top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8" xfId="0" applyNumberFormat="1" applyFont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4" fontId="0" fillId="0" borderId="71" xfId="0" applyNumberFormat="1" applyFont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4" fontId="2" fillId="35" borderId="57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5" borderId="73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8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0" fontId="24" fillId="35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4" fontId="24" fillId="0" borderId="50" xfId="0" applyNumberFormat="1" applyFont="1" applyBorder="1" applyAlignment="1">
      <alignment horizontal="center" vertical="top" wrapText="1"/>
    </xf>
    <xf numFmtId="49" fontId="23" fillId="0" borderId="66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0" fontId="23" fillId="0" borderId="6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1" fontId="0" fillId="0" borderId="3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0" fontId="0" fillId="0" borderId="16" xfId="0" applyNumberFormat="1" applyBorder="1" applyAlignment="1">
      <alignment horizontal="center" wrapText="1"/>
    </xf>
    <xf numFmtId="10" fontId="0" fillId="0" borderId="42" xfId="0" applyNumberFormat="1" applyBorder="1" applyAlignment="1">
      <alignment horizontal="center" wrapText="1"/>
    </xf>
    <xf numFmtId="1" fontId="13" fillId="0" borderId="52" xfId="0" applyNumberFormat="1" applyFont="1" applyBorder="1" applyAlignment="1">
      <alignment horizontal="center" wrapText="1"/>
    </xf>
    <xf numFmtId="178" fontId="13" fillId="0" borderId="10" xfId="0" applyNumberFormat="1" applyFont="1" applyBorder="1" applyAlignment="1">
      <alignment horizontal="center" wrapText="1"/>
    </xf>
    <xf numFmtId="1" fontId="13" fillId="0" borderId="5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1" fillId="0" borderId="3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49" fontId="0" fillId="0" borderId="21" xfId="0" applyNumberFormat="1" applyFont="1" applyBorder="1" applyAlignment="1">
      <alignment horizontal="center" wrapText="1"/>
    </xf>
    <xf numFmtId="49" fontId="21" fillId="38" borderId="15" xfId="0" applyNumberFormat="1" applyFont="1" applyFill="1" applyBorder="1" applyAlignment="1">
      <alignment horizontal="center" vertical="top" wrapText="1"/>
    </xf>
    <xf numFmtId="0" fontId="21" fillId="38" borderId="10" xfId="0" applyFont="1" applyFill="1" applyBorder="1" applyAlignment="1">
      <alignment horizontal="center" vertical="top" wrapText="1"/>
    </xf>
    <xf numFmtId="4" fontId="25" fillId="38" borderId="10" xfId="0" applyNumberFormat="1" applyFont="1" applyFill="1" applyBorder="1" applyAlignment="1">
      <alignment horizontal="center" vertical="top" wrapText="1"/>
    </xf>
    <xf numFmtId="0" fontId="25" fillId="38" borderId="50" xfId="0" applyFont="1" applyFill="1" applyBorder="1" applyAlignment="1">
      <alignment horizontal="center" vertical="top" wrapText="1"/>
    </xf>
    <xf numFmtId="4" fontId="24" fillId="38" borderId="10" xfId="0" applyNumberFormat="1" applyFont="1" applyFill="1" applyBorder="1" applyAlignment="1">
      <alignment horizontal="center" vertical="top" wrapText="1"/>
    </xf>
    <xf numFmtId="4" fontId="32" fillId="0" borderId="40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2" fillId="35" borderId="25" xfId="0" applyFont="1" applyFill="1" applyBorder="1" applyAlignment="1">
      <alignment horizontal="center" wrapText="1"/>
    </xf>
    <xf numFmtId="0" fontId="22" fillId="35" borderId="32" xfId="0" applyFont="1" applyFill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4" fontId="0" fillId="38" borderId="16" xfId="0" applyNumberFormat="1" applyFont="1" applyFill="1" applyBorder="1" applyAlignment="1">
      <alignment horizontal="center" wrapText="1"/>
    </xf>
    <xf numFmtId="168" fontId="0" fillId="38" borderId="71" xfId="0" applyNumberFormat="1" applyFont="1" applyFill="1" applyBorder="1" applyAlignment="1">
      <alignment horizontal="center" wrapText="1"/>
    </xf>
    <xf numFmtId="0" fontId="22" fillId="35" borderId="25" xfId="0" applyFont="1" applyFill="1" applyBorder="1" applyAlignment="1">
      <alignment wrapText="1"/>
    </xf>
    <xf numFmtId="1" fontId="0" fillId="0" borderId="12" xfId="0" applyNumberFormat="1" applyFont="1" applyBorder="1" applyAlignment="1">
      <alignment horizontal="center"/>
    </xf>
    <xf numFmtId="2" fontId="24" fillId="32" borderId="44" xfId="0" applyNumberFormat="1" applyFont="1" applyFill="1" applyBorder="1" applyAlignment="1">
      <alignment horizontal="center" wrapText="1"/>
    </xf>
    <xf numFmtId="0" fontId="13" fillId="0" borderId="81" xfId="0" applyFont="1" applyFill="1" applyBorder="1" applyAlignment="1">
      <alignment horizontal="center" wrapText="1"/>
    </xf>
    <xf numFmtId="170" fontId="0" fillId="0" borderId="50" xfId="0" applyNumberFormat="1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2" fontId="13" fillId="38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2" fontId="23" fillId="0" borderId="78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13" fillId="0" borderId="59" xfId="0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center" wrapText="1"/>
    </xf>
    <xf numFmtId="0" fontId="13" fillId="0" borderId="82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3" fontId="21" fillId="38" borderId="29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875" style="0" customWidth="1"/>
    <col min="2" max="2" width="59.375" style="0" customWidth="1"/>
    <col min="3" max="3" width="16.125" style="0" customWidth="1"/>
    <col min="4" max="4" width="14.50390625" style="3" customWidth="1"/>
    <col min="6" max="6" width="16.50390625" style="0" customWidth="1"/>
  </cols>
  <sheetData>
    <row r="1" spans="3:4" ht="13.5">
      <c r="C1" s="39" t="s">
        <v>527</v>
      </c>
      <c r="D1" s="781"/>
    </row>
    <row r="2" spans="3:4" ht="13.5">
      <c r="C2" s="39" t="s">
        <v>528</v>
      </c>
      <c r="D2" s="781"/>
    </row>
    <row r="3" spans="3:4" ht="13.5">
      <c r="C3" s="39"/>
      <c r="D3" s="781"/>
    </row>
    <row r="4" spans="3:4" ht="13.5">
      <c r="C4" s="39" t="s">
        <v>529</v>
      </c>
      <c r="D4" s="781" t="s">
        <v>530</v>
      </c>
    </row>
    <row r="5" spans="1:15" ht="36" customHeight="1">
      <c r="A5" s="834" t="s">
        <v>575</v>
      </c>
      <c r="B5" s="835"/>
      <c r="C5" s="835"/>
      <c r="D5" s="835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</row>
    <row r="6" ht="9" customHeight="1"/>
    <row r="7" spans="2:4" s="27" customFormat="1" ht="15.75" thickBot="1">
      <c r="B7" s="27" t="s">
        <v>576</v>
      </c>
      <c r="C7" s="342"/>
      <c r="D7" s="343"/>
    </row>
    <row r="8" spans="1:7" s="2" customFormat="1" ht="29.25" customHeight="1" thickBot="1">
      <c r="A8" s="442"/>
      <c r="B8" s="540" t="s">
        <v>0</v>
      </c>
      <c r="C8" s="541" t="s">
        <v>153</v>
      </c>
      <c r="D8" s="542" t="s">
        <v>506</v>
      </c>
      <c r="E8"/>
      <c r="F8"/>
      <c r="G8"/>
    </row>
    <row r="9" spans="1:7" s="237" customFormat="1" ht="15" customHeight="1" thickBot="1">
      <c r="A9" s="304" t="s">
        <v>88</v>
      </c>
      <c r="B9" s="309" t="s">
        <v>193</v>
      </c>
      <c r="C9" s="304" t="s">
        <v>89</v>
      </c>
      <c r="D9" s="545" t="s">
        <v>73</v>
      </c>
      <c r="E9"/>
      <c r="F9"/>
      <c r="G9"/>
    </row>
    <row r="10" spans="1:7" s="232" customFormat="1" ht="15" customHeight="1">
      <c r="A10" s="121" t="s">
        <v>193</v>
      </c>
      <c r="B10" s="543" t="s">
        <v>309</v>
      </c>
      <c r="C10" s="544" t="s">
        <v>171</v>
      </c>
      <c r="D10" s="821">
        <v>52</v>
      </c>
      <c r="E10"/>
      <c r="F10"/>
      <c r="G10"/>
    </row>
    <row r="11" spans="1:7" s="232" customFormat="1" ht="15" customHeight="1">
      <c r="A11" s="118" t="s">
        <v>89</v>
      </c>
      <c r="B11" s="234" t="s">
        <v>187</v>
      </c>
      <c r="C11" s="394" t="s">
        <v>171</v>
      </c>
      <c r="D11" s="822">
        <v>52</v>
      </c>
      <c r="E11"/>
      <c r="F11"/>
      <c r="G11"/>
    </row>
    <row r="12" spans="1:7" s="232" customFormat="1" ht="15" customHeight="1" thickBot="1">
      <c r="A12" s="243" t="s">
        <v>73</v>
      </c>
      <c r="B12" s="349" t="s">
        <v>188</v>
      </c>
      <c r="C12" s="395" t="s">
        <v>333</v>
      </c>
      <c r="D12" s="811"/>
      <c r="E12"/>
      <c r="F12"/>
      <c r="G12"/>
    </row>
    <row r="13" spans="1:7" s="4" customFormat="1" ht="27.75" customHeight="1" thickBot="1">
      <c r="A13" s="350" t="s">
        <v>74</v>
      </c>
      <c r="B13" s="313" t="s">
        <v>443</v>
      </c>
      <c r="C13" s="319" t="s">
        <v>321</v>
      </c>
      <c r="D13" s="774">
        <f>D14+D15+D16</f>
        <v>8163.199999999999</v>
      </c>
      <c r="E13" s="5"/>
      <c r="F13" s="5"/>
      <c r="G13" s="5"/>
    </row>
    <row r="14" spans="1:7" s="353" customFormat="1" ht="15" customHeight="1">
      <c r="A14" s="121" t="s">
        <v>75</v>
      </c>
      <c r="B14" s="351" t="s">
        <v>66</v>
      </c>
      <c r="C14" s="352" t="s">
        <v>321</v>
      </c>
      <c r="D14" s="821">
        <f>250.2+248.1</f>
        <v>498.29999999999995</v>
      </c>
      <c r="E14" s="112"/>
      <c r="F14" s="112"/>
      <c r="G14" s="112"/>
    </row>
    <row r="15" spans="1:7" s="353" customFormat="1" ht="15" customHeight="1" thickBot="1">
      <c r="A15" s="440" t="s">
        <v>76</v>
      </c>
      <c r="B15" s="439" t="s">
        <v>442</v>
      </c>
      <c r="C15" s="352" t="s">
        <v>321</v>
      </c>
      <c r="D15" s="823">
        <f>906.3+734.8</f>
        <v>1641.1</v>
      </c>
      <c r="E15" s="112"/>
      <c r="F15" s="112"/>
      <c r="G15" s="112"/>
    </row>
    <row r="16" spans="1:7" s="233" customFormat="1" ht="27.75" customHeight="1" thickBot="1">
      <c r="A16" s="350" t="s">
        <v>77</v>
      </c>
      <c r="B16" s="313" t="s">
        <v>444</v>
      </c>
      <c r="C16" s="314" t="s">
        <v>321</v>
      </c>
      <c r="D16" s="312">
        <f>D17+D18</f>
        <v>6023.799999999999</v>
      </c>
      <c r="E16"/>
      <c r="F16"/>
      <c r="G16"/>
    </row>
    <row r="17" spans="1:7" s="1" customFormat="1" ht="15" customHeight="1">
      <c r="A17" s="121"/>
      <c r="B17" s="120" t="s">
        <v>401</v>
      </c>
      <c r="C17" s="18" t="s">
        <v>321</v>
      </c>
      <c r="D17" s="354">
        <v>3583.2</v>
      </c>
      <c r="E17"/>
      <c r="F17"/>
      <c r="G17"/>
    </row>
    <row r="18" spans="1:7" s="1" customFormat="1" ht="15" customHeight="1">
      <c r="A18" s="121"/>
      <c r="B18" s="120" t="s">
        <v>402</v>
      </c>
      <c r="C18" s="18" t="s">
        <v>321</v>
      </c>
      <c r="D18" s="354">
        <v>2440.6</v>
      </c>
      <c r="E18"/>
      <c r="F18"/>
      <c r="G18"/>
    </row>
    <row r="19" spans="1:7" s="1" customFormat="1" ht="15" customHeight="1">
      <c r="A19" s="121" t="s">
        <v>78</v>
      </c>
      <c r="B19" s="120" t="s">
        <v>64</v>
      </c>
      <c r="C19" s="18" t="s">
        <v>321</v>
      </c>
      <c r="D19" s="354">
        <v>927.7</v>
      </c>
      <c r="E19"/>
      <c r="F19"/>
      <c r="G19"/>
    </row>
    <row r="20" spans="1:7" s="1" customFormat="1" ht="15" customHeight="1">
      <c r="A20" s="118" t="s">
        <v>79</v>
      </c>
      <c r="B20" s="8" t="s">
        <v>314</v>
      </c>
      <c r="C20" s="7" t="s">
        <v>321</v>
      </c>
      <c r="D20" s="348">
        <v>155.2</v>
      </c>
      <c r="E20"/>
      <c r="F20"/>
      <c r="G20"/>
    </row>
    <row r="21" spans="1:7" s="1" customFormat="1" ht="15" customHeight="1">
      <c r="A21" s="118" t="s">
        <v>80</v>
      </c>
      <c r="B21" s="8" t="s">
        <v>313</v>
      </c>
      <c r="C21" s="7" t="s">
        <v>321</v>
      </c>
      <c r="D21" s="348">
        <f>647.4+507.2</f>
        <v>1154.6</v>
      </c>
      <c r="E21"/>
      <c r="F21"/>
      <c r="G21"/>
    </row>
    <row r="22" spans="1:7" s="1" customFormat="1" ht="15" customHeight="1">
      <c r="A22" s="118" t="s">
        <v>81</v>
      </c>
      <c r="B22" s="8" t="s">
        <v>65</v>
      </c>
      <c r="C22" s="7" t="s">
        <v>321</v>
      </c>
      <c r="D22" s="348">
        <v>2209.9</v>
      </c>
      <c r="E22"/>
      <c r="F22"/>
      <c r="G22"/>
    </row>
    <row r="23" spans="1:7" s="1" customFormat="1" ht="15" customHeight="1">
      <c r="A23" s="118" t="s">
        <v>82</v>
      </c>
      <c r="B23" s="8" t="s">
        <v>513</v>
      </c>
      <c r="C23" s="7" t="s">
        <v>514</v>
      </c>
      <c r="D23" s="348">
        <f>17099+14616</f>
        <v>31715</v>
      </c>
      <c r="E23"/>
      <c r="F23"/>
      <c r="G23"/>
    </row>
    <row r="24" spans="1:7" s="1" customFormat="1" ht="15" customHeight="1">
      <c r="A24" s="118" t="s">
        <v>157</v>
      </c>
      <c r="B24" s="8" t="s">
        <v>364</v>
      </c>
      <c r="C24" s="7" t="s">
        <v>365</v>
      </c>
      <c r="D24" s="348">
        <v>52</v>
      </c>
      <c r="E24"/>
      <c r="F24"/>
      <c r="G24"/>
    </row>
    <row r="25" spans="1:7" s="1" customFormat="1" ht="15" customHeight="1">
      <c r="A25" s="118" t="s">
        <v>83</v>
      </c>
      <c r="B25" s="8" t="s">
        <v>367</v>
      </c>
      <c r="C25" s="7" t="s">
        <v>366</v>
      </c>
      <c r="D25" s="348">
        <v>810</v>
      </c>
      <c r="E25"/>
      <c r="F25"/>
      <c r="G25"/>
    </row>
    <row r="26" spans="1:7" s="1" customFormat="1" ht="27.75" customHeight="1">
      <c r="A26" s="118" t="s">
        <v>158</v>
      </c>
      <c r="B26" s="8" t="s">
        <v>368</v>
      </c>
      <c r="C26" s="7" t="s">
        <v>366</v>
      </c>
      <c r="D26" s="348">
        <v>420</v>
      </c>
      <c r="E26"/>
      <c r="F26"/>
      <c r="G26"/>
    </row>
    <row r="27" spans="1:7" s="1" customFormat="1" ht="15" customHeight="1">
      <c r="A27" s="118" t="s">
        <v>159</v>
      </c>
      <c r="B27" s="8" t="s">
        <v>369</v>
      </c>
      <c r="C27" s="7" t="s">
        <v>366</v>
      </c>
      <c r="D27" s="348">
        <v>260</v>
      </c>
      <c r="E27"/>
      <c r="F27"/>
      <c r="G27"/>
    </row>
    <row r="28" spans="1:7" s="1" customFormat="1" ht="15" customHeight="1">
      <c r="A28" s="118" t="s">
        <v>160</v>
      </c>
      <c r="B28" s="8" t="s">
        <v>372</v>
      </c>
      <c r="C28" s="7" t="s">
        <v>366</v>
      </c>
      <c r="D28" s="348">
        <v>2340</v>
      </c>
      <c r="E28"/>
      <c r="F28"/>
      <c r="G28"/>
    </row>
    <row r="29" spans="1:7" s="1" customFormat="1" ht="27.75" customHeight="1">
      <c r="A29" s="118" t="s">
        <v>90</v>
      </c>
      <c r="B29" s="8" t="s">
        <v>373</v>
      </c>
      <c r="C29" s="7" t="s">
        <v>171</v>
      </c>
      <c r="D29" s="348">
        <v>42</v>
      </c>
      <c r="E29"/>
      <c r="F29"/>
      <c r="G29"/>
    </row>
    <row r="30" spans="1:7" s="1" customFormat="1" ht="15" customHeight="1">
      <c r="A30" s="118" t="s">
        <v>91</v>
      </c>
      <c r="B30" s="8" t="s">
        <v>374</v>
      </c>
      <c r="C30" s="7" t="s">
        <v>171</v>
      </c>
      <c r="D30" s="348">
        <v>43</v>
      </c>
      <c r="E30"/>
      <c r="F30"/>
      <c r="G30"/>
    </row>
    <row r="31" spans="1:7" s="1" customFormat="1" ht="15" customHeight="1">
      <c r="A31" s="118" t="s">
        <v>92</v>
      </c>
      <c r="B31" s="8" t="s">
        <v>370</v>
      </c>
      <c r="C31" s="7" t="s">
        <v>371</v>
      </c>
      <c r="D31" s="348">
        <v>104</v>
      </c>
      <c r="E31"/>
      <c r="F31"/>
      <c r="G31"/>
    </row>
    <row r="32" spans="1:7" s="1" customFormat="1" ht="15" customHeight="1">
      <c r="A32" s="118" t="s">
        <v>93</v>
      </c>
      <c r="B32" s="8" t="s">
        <v>375</v>
      </c>
      <c r="C32" s="7" t="s">
        <v>371</v>
      </c>
      <c r="D32" s="348">
        <v>30</v>
      </c>
      <c r="E32"/>
      <c r="F32"/>
      <c r="G32"/>
    </row>
    <row r="33" spans="1:7" s="1" customFormat="1" ht="15" customHeight="1">
      <c r="A33" s="118" t="s">
        <v>94</v>
      </c>
      <c r="B33" s="8" t="s">
        <v>376</v>
      </c>
      <c r="C33" s="7" t="s">
        <v>371</v>
      </c>
      <c r="D33" s="348">
        <v>2</v>
      </c>
      <c r="E33"/>
      <c r="F33"/>
      <c r="G33"/>
    </row>
    <row r="34" spans="1:7" s="1" customFormat="1" ht="15" customHeight="1">
      <c r="A34" s="118" t="s">
        <v>95</v>
      </c>
      <c r="B34" s="8" t="s">
        <v>189</v>
      </c>
      <c r="C34" s="7" t="s">
        <v>171</v>
      </c>
      <c r="D34" s="348">
        <v>170</v>
      </c>
      <c r="E34"/>
      <c r="F34"/>
      <c r="G34"/>
    </row>
    <row r="35" spans="1:7" s="1" customFormat="1" ht="15" customHeight="1">
      <c r="A35" s="118" t="s">
        <v>96</v>
      </c>
      <c r="B35" s="8" t="s">
        <v>190</v>
      </c>
      <c r="C35" s="7" t="s">
        <v>171</v>
      </c>
      <c r="D35" s="348">
        <v>8</v>
      </c>
      <c r="E35"/>
      <c r="F35"/>
      <c r="G35"/>
    </row>
    <row r="36" spans="1:7" s="1" customFormat="1" ht="27" customHeight="1">
      <c r="A36" s="118" t="s">
        <v>97</v>
      </c>
      <c r="B36" s="8" t="s">
        <v>353</v>
      </c>
      <c r="C36" s="7" t="s">
        <v>332</v>
      </c>
      <c r="D36" s="348"/>
      <c r="E36"/>
      <c r="F36"/>
      <c r="G36"/>
    </row>
    <row r="37" spans="1:7" s="1" customFormat="1" ht="27" customHeight="1">
      <c r="A37" s="118" t="s">
        <v>161</v>
      </c>
      <c r="B37" s="8" t="s">
        <v>522</v>
      </c>
      <c r="C37" s="7" t="s">
        <v>332</v>
      </c>
      <c r="D37" s="812"/>
      <c r="E37"/>
      <c r="F37"/>
      <c r="G37"/>
    </row>
    <row r="38" spans="1:7" s="1" customFormat="1" ht="15" customHeight="1">
      <c r="A38" s="118" t="s">
        <v>162</v>
      </c>
      <c r="B38" s="8" t="s">
        <v>310</v>
      </c>
      <c r="C38" s="7" t="s">
        <v>171</v>
      </c>
      <c r="D38" s="348">
        <v>2</v>
      </c>
      <c r="E38"/>
      <c r="F38"/>
      <c r="G38"/>
    </row>
    <row r="39" spans="1:7" s="1" customFormat="1" ht="15" customHeight="1">
      <c r="A39" s="118" t="s">
        <v>357</v>
      </c>
      <c r="B39" s="8" t="s">
        <v>311</v>
      </c>
      <c r="C39" s="7" t="s">
        <v>171</v>
      </c>
      <c r="D39" s="348">
        <v>8</v>
      </c>
      <c r="E39"/>
      <c r="F39"/>
      <c r="G39"/>
    </row>
    <row r="40" spans="1:7" s="1" customFormat="1" ht="15" customHeight="1">
      <c r="A40" s="118" t="s">
        <v>358</v>
      </c>
      <c r="B40" s="8" t="s">
        <v>446</v>
      </c>
      <c r="C40" s="7" t="s">
        <v>321</v>
      </c>
      <c r="D40" s="348"/>
      <c r="E40"/>
      <c r="F40"/>
      <c r="G40"/>
    </row>
    <row r="41" spans="1:7" s="1" customFormat="1" ht="15" customHeight="1">
      <c r="A41" s="118" t="s">
        <v>163</v>
      </c>
      <c r="B41" s="8" t="s">
        <v>447</v>
      </c>
      <c r="C41" s="7" t="s">
        <v>321</v>
      </c>
      <c r="D41" s="348"/>
      <c r="E41"/>
      <c r="F41"/>
      <c r="G41"/>
    </row>
    <row r="42" spans="1:7" s="1" customFormat="1" ht="15" customHeight="1">
      <c r="A42" s="118" t="s">
        <v>98</v>
      </c>
      <c r="B42" s="8" t="s">
        <v>523</v>
      </c>
      <c r="C42" s="7" t="s">
        <v>321</v>
      </c>
      <c r="D42" s="348">
        <v>2139</v>
      </c>
      <c r="E42"/>
      <c r="F42"/>
      <c r="G42"/>
    </row>
    <row r="43" spans="1:7" s="1" customFormat="1" ht="15" customHeight="1">
      <c r="A43" s="118" t="s">
        <v>99</v>
      </c>
      <c r="B43" s="8" t="s">
        <v>448</v>
      </c>
      <c r="C43" s="7" t="s">
        <v>321</v>
      </c>
      <c r="D43" s="348"/>
      <c r="E43"/>
      <c r="F43"/>
      <c r="G43"/>
    </row>
    <row r="44" spans="1:7" s="1" customFormat="1" ht="15" customHeight="1">
      <c r="A44" s="118" t="s">
        <v>100</v>
      </c>
      <c r="B44" s="8" t="s">
        <v>449</v>
      </c>
      <c r="C44" s="7" t="s">
        <v>321</v>
      </c>
      <c r="D44" s="348"/>
      <c r="E44"/>
      <c r="F44"/>
      <c r="G44"/>
    </row>
    <row r="45" spans="1:7" s="1" customFormat="1" ht="15" customHeight="1">
      <c r="A45" s="118" t="s">
        <v>101</v>
      </c>
      <c r="B45" s="8" t="s">
        <v>450</v>
      </c>
      <c r="C45" s="7" t="s">
        <v>321</v>
      </c>
      <c r="D45" s="348"/>
      <c r="E45"/>
      <c r="F45"/>
      <c r="G45"/>
    </row>
    <row r="46" spans="1:7" s="1" customFormat="1" ht="15" customHeight="1">
      <c r="A46" s="118" t="s">
        <v>102</v>
      </c>
      <c r="B46" s="8" t="s">
        <v>445</v>
      </c>
      <c r="C46" s="7" t="s">
        <v>321</v>
      </c>
      <c r="D46" s="348">
        <v>0</v>
      </c>
      <c r="E46"/>
      <c r="F46"/>
      <c r="G46"/>
    </row>
    <row r="47" spans="1:7" s="1" customFormat="1" ht="15" customHeight="1">
      <c r="A47" s="118" t="s">
        <v>103</v>
      </c>
      <c r="B47" s="9" t="s">
        <v>377</v>
      </c>
      <c r="C47" s="7"/>
      <c r="D47" s="348"/>
      <c r="E47"/>
      <c r="F47"/>
      <c r="G47"/>
    </row>
    <row r="48" spans="1:7" s="1" customFormat="1" ht="15" customHeight="1">
      <c r="A48" s="118" t="s">
        <v>104</v>
      </c>
      <c r="B48" s="8" t="s">
        <v>378</v>
      </c>
      <c r="C48" s="7" t="s">
        <v>321</v>
      </c>
      <c r="D48" s="348">
        <v>10.4</v>
      </c>
      <c r="E48"/>
      <c r="F48"/>
      <c r="G48"/>
    </row>
    <row r="49" spans="1:7" s="1" customFormat="1" ht="15" customHeight="1">
      <c r="A49" s="118" t="s">
        <v>105</v>
      </c>
      <c r="B49" s="8" t="s">
        <v>379</v>
      </c>
      <c r="C49" s="7" t="s">
        <v>171</v>
      </c>
      <c r="D49" s="348"/>
      <c r="E49"/>
      <c r="F49"/>
      <c r="G49"/>
    </row>
    <row r="50" spans="1:7" s="1" customFormat="1" ht="15" customHeight="1">
      <c r="A50" s="118" t="s">
        <v>359</v>
      </c>
      <c r="B50" s="8" t="s">
        <v>377</v>
      </c>
      <c r="C50" s="7" t="s">
        <v>171</v>
      </c>
      <c r="D50" s="348">
        <v>2</v>
      </c>
      <c r="E50"/>
      <c r="F50"/>
      <c r="G50"/>
    </row>
    <row r="51" spans="1:7" s="1" customFormat="1" ht="15" customHeight="1">
      <c r="A51" s="118" t="s">
        <v>106</v>
      </c>
      <c r="B51" s="8" t="s">
        <v>380</v>
      </c>
      <c r="C51" s="7" t="s">
        <v>383</v>
      </c>
      <c r="D51" s="348"/>
      <c r="E51"/>
      <c r="F51"/>
      <c r="G51"/>
    </row>
    <row r="52" spans="1:7" s="1" customFormat="1" ht="15" customHeight="1">
      <c r="A52" s="118" t="s">
        <v>107</v>
      </c>
      <c r="B52" s="8" t="s">
        <v>381</v>
      </c>
      <c r="C52" s="7" t="s">
        <v>171</v>
      </c>
      <c r="D52" s="348"/>
      <c r="E52"/>
      <c r="F52"/>
      <c r="G52"/>
    </row>
    <row r="53" spans="1:7" s="1" customFormat="1" ht="15" customHeight="1" thickBot="1">
      <c r="A53" s="462" t="s">
        <v>515</v>
      </c>
      <c r="B53" s="463" t="s">
        <v>382</v>
      </c>
      <c r="C53" s="464" t="s">
        <v>171</v>
      </c>
      <c r="D53" s="813">
        <v>2</v>
      </c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35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P24" sqref="P24"/>
    </sheetView>
  </sheetViews>
  <sheetFormatPr defaultColWidth="9.00390625" defaultRowHeight="12.75"/>
  <cols>
    <col min="1" max="1" width="45.50390625" style="0" customWidth="1"/>
    <col min="2" max="2" width="10.00390625" style="3" customWidth="1"/>
    <col min="3" max="3" width="10.625" style="3" bestFit="1" customWidth="1"/>
    <col min="4" max="4" width="10.375" style="3" customWidth="1"/>
    <col min="5" max="5" width="9.875" style="3" customWidth="1"/>
    <col min="6" max="6" width="9.50390625" style="3" customWidth="1"/>
    <col min="7" max="7" width="13.125" style="3" customWidth="1"/>
    <col min="8" max="8" width="7.50390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50390625" style="0" bestFit="1" customWidth="1"/>
    <col min="15" max="15" width="10.125" style="0" bestFit="1" customWidth="1"/>
  </cols>
  <sheetData>
    <row r="1" spans="1:13" s="6" customFormat="1" ht="18" thickBot="1">
      <c r="A1" s="843" t="s">
        <v>496</v>
      </c>
      <c r="B1" s="843"/>
      <c r="C1" s="843"/>
      <c r="D1" s="843"/>
      <c r="E1" s="843"/>
      <c r="F1" s="843"/>
      <c r="G1" s="843"/>
      <c r="H1" s="217"/>
      <c r="I1" s="217"/>
      <c r="J1" s="217"/>
      <c r="K1" s="217"/>
      <c r="L1" s="220" t="s">
        <v>150</v>
      </c>
      <c r="M1" s="217"/>
    </row>
    <row r="2" spans="1:13" ht="13.5" thickBot="1">
      <c r="A2" s="127" t="s">
        <v>465</v>
      </c>
      <c r="M2" s="26" t="s">
        <v>58</v>
      </c>
    </row>
    <row r="3" spans="1:13" ht="29.25" customHeight="1">
      <c r="A3" s="844" t="s">
        <v>0</v>
      </c>
      <c r="B3" s="846" t="s">
        <v>110</v>
      </c>
      <c r="C3" s="836" t="s">
        <v>464</v>
      </c>
      <c r="D3" s="836"/>
      <c r="E3" s="836"/>
      <c r="F3" s="836"/>
      <c r="G3" s="837"/>
      <c r="H3" s="838" t="s">
        <v>165</v>
      </c>
      <c r="I3" s="839"/>
      <c r="J3" s="839"/>
      <c r="K3" s="839"/>
      <c r="L3" s="840"/>
      <c r="M3" s="104"/>
    </row>
    <row r="4" spans="1:14" s="2" customFormat="1" ht="52.5">
      <c r="A4" s="845"/>
      <c r="B4" s="847"/>
      <c r="C4" s="7" t="s">
        <v>4</v>
      </c>
      <c r="D4" s="7" t="s">
        <v>505</v>
      </c>
      <c r="E4" s="7" t="s">
        <v>351</v>
      </c>
      <c r="F4" s="7" t="s">
        <v>340</v>
      </c>
      <c r="G4" s="550" t="s">
        <v>9</v>
      </c>
      <c r="H4" s="270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51"/>
      <c r="B5" s="464"/>
      <c r="C5" s="464"/>
      <c r="D5" s="464" t="s">
        <v>321</v>
      </c>
      <c r="E5" s="464" t="s">
        <v>321</v>
      </c>
      <c r="F5" s="464" t="s">
        <v>338</v>
      </c>
      <c r="G5" s="552" t="s">
        <v>58</v>
      </c>
      <c r="H5" s="245"/>
      <c r="I5" s="18"/>
      <c r="J5" s="316"/>
      <c r="K5" s="245"/>
      <c r="L5" s="94"/>
      <c r="M5" s="17"/>
      <c r="N5"/>
    </row>
    <row r="6" spans="1:14" s="2" customFormat="1" ht="16.5" customHeight="1" thickBot="1">
      <c r="A6" s="546">
        <v>1</v>
      </c>
      <c r="B6" s="547">
        <v>2</v>
      </c>
      <c r="C6" s="548">
        <v>3</v>
      </c>
      <c r="D6" s="246">
        <v>4</v>
      </c>
      <c r="E6" s="246">
        <v>5</v>
      </c>
      <c r="F6" s="246">
        <v>6</v>
      </c>
      <c r="G6" s="549">
        <v>7</v>
      </c>
      <c r="H6" s="245">
        <v>8</v>
      </c>
      <c r="I6" s="18">
        <v>9</v>
      </c>
      <c r="J6" s="25">
        <v>10</v>
      </c>
      <c r="K6" s="83">
        <v>11</v>
      </c>
      <c r="L6" s="94">
        <v>12</v>
      </c>
      <c r="M6" s="17">
        <v>13</v>
      </c>
      <c r="N6"/>
    </row>
    <row r="7" spans="1:14" s="28" customFormat="1" ht="14.25" customHeight="1">
      <c r="A7" s="176" t="s">
        <v>62</v>
      </c>
      <c r="B7" s="308" t="s">
        <v>321</v>
      </c>
      <c r="C7" s="714"/>
      <c r="D7" s="715">
        <f>'Исход дан'!D16</f>
        <v>6023.799999999999</v>
      </c>
      <c r="E7" s="716"/>
      <c r="F7" s="716"/>
      <c r="G7" s="493"/>
      <c r="H7" s="231"/>
      <c r="I7" s="9">
        <f>D7</f>
        <v>6023.799999999999</v>
      </c>
      <c r="J7" s="9"/>
      <c r="K7" s="9"/>
      <c r="L7" s="24"/>
      <c r="M7" s="105"/>
      <c r="N7"/>
    </row>
    <row r="8" spans="1:14" s="2" customFormat="1" ht="15" customHeight="1">
      <c r="A8" s="61" t="s">
        <v>1</v>
      </c>
      <c r="B8" s="105"/>
      <c r="C8" s="483"/>
      <c r="D8" s="219"/>
      <c r="E8" s="219"/>
      <c r="F8" s="219"/>
      <c r="G8" s="698"/>
      <c r="H8" s="270"/>
      <c r="I8" s="7"/>
      <c r="J8" s="7"/>
      <c r="K8" s="7"/>
      <c r="L8" s="13"/>
      <c r="M8" s="17"/>
      <c r="N8"/>
    </row>
    <row r="9" spans="1:14" s="1" customFormat="1" ht="21.75" customHeight="1">
      <c r="A9" s="87" t="s">
        <v>547</v>
      </c>
      <c r="B9" s="17" t="s">
        <v>321</v>
      </c>
      <c r="C9" s="483" t="s">
        <v>341</v>
      </c>
      <c r="D9" s="559">
        <f>'Исход дан'!D14+'Исход дан'!D15</f>
        <v>2139.3999999999996</v>
      </c>
      <c r="E9" s="219"/>
      <c r="F9" s="679">
        <v>1.313</v>
      </c>
      <c r="G9" s="698"/>
      <c r="H9" s="270"/>
      <c r="I9" s="7">
        <f>D9</f>
        <v>2139.3999999999996</v>
      </c>
      <c r="J9" s="7">
        <v>790</v>
      </c>
      <c r="K9" s="92"/>
      <c r="L9" s="13"/>
      <c r="M9" s="17"/>
      <c r="N9"/>
    </row>
    <row r="10" spans="1:14" s="1" customFormat="1" ht="21.75" customHeight="1" thickBot="1">
      <c r="A10" s="91" t="s">
        <v>572</v>
      </c>
      <c r="B10" s="824"/>
      <c r="C10" s="825" t="s">
        <v>341</v>
      </c>
      <c r="D10" s="244" t="s">
        <v>341</v>
      </c>
      <c r="E10" s="244" t="s">
        <v>341</v>
      </c>
      <c r="F10" s="458">
        <v>1.12</v>
      </c>
      <c r="G10" s="805"/>
      <c r="H10" s="270"/>
      <c r="I10" s="7"/>
      <c r="J10" s="7"/>
      <c r="K10" s="92"/>
      <c r="L10" s="13"/>
      <c r="M10" s="17"/>
      <c r="N10"/>
    </row>
    <row r="11" spans="1:14" s="4" customFormat="1" ht="18.75" customHeight="1" thickBot="1">
      <c r="A11" s="386" t="s">
        <v>458</v>
      </c>
      <c r="B11" s="467" t="s">
        <v>338</v>
      </c>
      <c r="C11" s="717"/>
      <c r="D11" s="718"/>
      <c r="E11" s="718"/>
      <c r="F11" s="719">
        <f>F9*F10</f>
        <v>1.47056</v>
      </c>
      <c r="G11" s="387"/>
      <c r="H11" s="231"/>
      <c r="I11" s="9"/>
      <c r="J11" s="9"/>
      <c r="K11" s="81"/>
      <c r="L11" s="95"/>
      <c r="M11" s="105"/>
      <c r="N11"/>
    </row>
    <row r="12" spans="1:16" s="1" customFormat="1" ht="24" customHeight="1">
      <c r="A12" s="317" t="s">
        <v>416</v>
      </c>
      <c r="B12" s="109" t="s">
        <v>342</v>
      </c>
      <c r="C12" s="487">
        <v>6000</v>
      </c>
      <c r="D12" s="496" t="s">
        <v>341</v>
      </c>
      <c r="E12" s="496" t="s">
        <v>341</v>
      </c>
      <c r="F12" s="678">
        <f>F11</f>
        <v>1.47056</v>
      </c>
      <c r="G12" s="699">
        <f>C12*F12*12</f>
        <v>105880.32</v>
      </c>
      <c r="H12" s="270">
        <f>C12</f>
        <v>6000</v>
      </c>
      <c r="I12" s="85">
        <f>I9</f>
        <v>2139.3999999999996</v>
      </c>
      <c r="J12" s="7">
        <v>377.66</v>
      </c>
      <c r="K12" s="82">
        <f>I12*J12/100</f>
        <v>8079.658039999998</v>
      </c>
      <c r="L12" s="96">
        <f>K12*12</f>
        <v>96955.89647999998</v>
      </c>
      <c r="M12" s="106">
        <f aca="true" t="shared" si="0" ref="M12:M19">G12-L12</f>
        <v>8924.423520000026</v>
      </c>
      <c r="N12" s="841"/>
      <c r="O12" s="842"/>
      <c r="P12" s="842"/>
    </row>
    <row r="13" spans="1:14" s="1" customFormat="1" ht="15" customHeight="1">
      <c r="A13" s="87" t="s">
        <v>532</v>
      </c>
      <c r="B13" s="782" t="s">
        <v>197</v>
      </c>
      <c r="C13" s="784">
        <v>2300</v>
      </c>
      <c r="D13" s="219" t="s">
        <v>341</v>
      </c>
      <c r="E13" s="219" t="s">
        <v>341</v>
      </c>
      <c r="F13" s="785">
        <f>F12</f>
        <v>1.47056</v>
      </c>
      <c r="G13" s="699">
        <f>C13*F13*12</f>
        <v>40587.456</v>
      </c>
      <c r="H13" s="271">
        <f>C13</f>
        <v>2300</v>
      </c>
      <c r="I13" s="7"/>
      <c r="J13" s="7">
        <v>188.83</v>
      </c>
      <c r="K13" s="82">
        <f>I12*J13/100</f>
        <v>4039.829019999999</v>
      </c>
      <c r="L13" s="96">
        <f>K13*12</f>
        <v>48477.94823999999</v>
      </c>
      <c r="M13" s="106">
        <f t="shared" si="0"/>
        <v>-7890.492239999992</v>
      </c>
      <c r="N13"/>
    </row>
    <row r="14" spans="1:14" s="4" customFormat="1" ht="15" customHeight="1">
      <c r="A14" s="389" t="s">
        <v>10</v>
      </c>
      <c r="B14" s="473" t="s">
        <v>463</v>
      </c>
      <c r="C14" s="484" t="s">
        <v>341</v>
      </c>
      <c r="D14" s="482" t="s">
        <v>341</v>
      </c>
      <c r="E14" s="482" t="s">
        <v>341</v>
      </c>
      <c r="F14" s="482" t="s">
        <v>341</v>
      </c>
      <c r="G14" s="494">
        <f>G12+G13</f>
        <v>146467.776</v>
      </c>
      <c r="H14" s="231"/>
      <c r="I14" s="9"/>
      <c r="J14" s="9">
        <f>J12+J13</f>
        <v>566.49</v>
      </c>
      <c r="K14" s="86">
        <f>SUM(K12:K13)</f>
        <v>12119.487059999998</v>
      </c>
      <c r="L14" s="97">
        <f>SUM(L12:L13)</f>
        <v>145433.84471999996</v>
      </c>
      <c r="M14" s="106">
        <f t="shared" si="0"/>
        <v>1033.931280000048</v>
      </c>
      <c r="N14"/>
    </row>
    <row r="15" spans="1:14" s="249" customFormat="1" ht="15" customHeight="1">
      <c r="A15" s="88" t="s">
        <v>12</v>
      </c>
      <c r="B15" s="468" t="s">
        <v>197</v>
      </c>
      <c r="C15" s="721">
        <v>0.302</v>
      </c>
      <c r="D15" s="219" t="s">
        <v>341</v>
      </c>
      <c r="E15" s="219" t="s">
        <v>341</v>
      </c>
      <c r="F15" s="219" t="s">
        <v>341</v>
      </c>
      <c r="G15" s="700">
        <f>G14*C15</f>
        <v>44233.268352</v>
      </c>
      <c r="H15" s="325">
        <v>0.262</v>
      </c>
      <c r="I15" s="150"/>
      <c r="J15" s="150">
        <v>148.42</v>
      </c>
      <c r="K15" s="324">
        <f>I12*J15/100</f>
        <v>3175.2974799999993</v>
      </c>
      <c r="L15" s="326">
        <f>K15*12</f>
        <v>38103.56975999999</v>
      </c>
      <c r="M15" s="327">
        <f t="shared" si="0"/>
        <v>6129.698592000008</v>
      </c>
      <c r="N15" s="31"/>
    </row>
    <row r="16" spans="1:14" s="249" customFormat="1" ht="15" customHeight="1">
      <c r="A16" s="88" t="s">
        <v>6</v>
      </c>
      <c r="B16" s="449" t="s">
        <v>350</v>
      </c>
      <c r="C16" s="722">
        <f>'спец инв'!H13</f>
        <v>682</v>
      </c>
      <c r="D16" s="219" t="s">
        <v>341</v>
      </c>
      <c r="E16" s="219" t="s">
        <v>341</v>
      </c>
      <c r="F16" s="697">
        <f>F11</f>
        <v>1.47056</v>
      </c>
      <c r="G16" s="522">
        <f>C16*F16</f>
        <v>1002.9219200000001</v>
      </c>
      <c r="H16" s="239">
        <v>14.51</v>
      </c>
      <c r="I16" s="150"/>
      <c r="J16" s="150">
        <v>2.63</v>
      </c>
      <c r="K16" s="328">
        <f>J16*I12/100</f>
        <v>56.26621999999998</v>
      </c>
      <c r="L16" s="326">
        <f>K16*12</f>
        <v>675.1946399999998</v>
      </c>
      <c r="M16" s="327">
        <f t="shared" si="0"/>
        <v>327.7272800000003</v>
      </c>
      <c r="N16" s="31"/>
    </row>
    <row r="17" spans="1:14" s="249" customFormat="1" ht="15" customHeight="1">
      <c r="A17" s="88" t="s">
        <v>339</v>
      </c>
      <c r="B17" s="449" t="s">
        <v>350</v>
      </c>
      <c r="C17" s="722">
        <v>1430</v>
      </c>
      <c r="D17" s="219" t="s">
        <v>341</v>
      </c>
      <c r="E17" s="219" t="s">
        <v>341</v>
      </c>
      <c r="F17" s="697">
        <f>F11</f>
        <v>1.47056</v>
      </c>
      <c r="G17" s="522">
        <f>C17*F17</f>
        <v>2102.9008000000003</v>
      </c>
      <c r="H17" s="239">
        <v>21.86</v>
      </c>
      <c r="I17" s="150"/>
      <c r="J17" s="150">
        <v>6.59</v>
      </c>
      <c r="K17" s="328">
        <f>I12*J17/100</f>
        <v>140.98645999999997</v>
      </c>
      <c r="L17" s="326">
        <f>K17*12</f>
        <v>1691.8375199999996</v>
      </c>
      <c r="M17" s="327">
        <f t="shared" si="0"/>
        <v>411.06328000000076</v>
      </c>
      <c r="N17" s="31"/>
    </row>
    <row r="18" spans="1:14" s="249" customFormat="1" ht="15" customHeight="1" thickBot="1">
      <c r="A18" s="380" t="s">
        <v>337</v>
      </c>
      <c r="B18" s="469" t="s">
        <v>343</v>
      </c>
      <c r="C18" s="722">
        <f>'спец инв'!H44</f>
        <v>2.88</v>
      </c>
      <c r="D18" s="244">
        <f>D9</f>
        <v>2139.3999999999996</v>
      </c>
      <c r="E18" s="244" t="s">
        <v>341</v>
      </c>
      <c r="F18" s="458" t="s">
        <v>341</v>
      </c>
      <c r="G18" s="701">
        <f>C18*D18</f>
        <v>6161.471999999999</v>
      </c>
      <c r="H18" s="239"/>
      <c r="I18" s="150"/>
      <c r="J18" s="150"/>
      <c r="K18" s="328"/>
      <c r="L18" s="326"/>
      <c r="M18" s="327"/>
      <c r="N18" s="31"/>
    </row>
    <row r="19" spans="1:14" s="4" customFormat="1" ht="30.75" customHeight="1" thickBot="1">
      <c r="A19" s="318" t="s">
        <v>415</v>
      </c>
      <c r="B19" s="470"/>
      <c r="C19" s="485" t="s">
        <v>341</v>
      </c>
      <c r="D19" s="491" t="s">
        <v>341</v>
      </c>
      <c r="E19" s="491" t="s">
        <v>341</v>
      </c>
      <c r="F19" s="491" t="s">
        <v>341</v>
      </c>
      <c r="G19" s="702">
        <f>G14+G15+G16+G17+G18</f>
        <v>199968.339072</v>
      </c>
      <c r="H19" s="273"/>
      <c r="I19" s="116"/>
      <c r="J19" s="183">
        <f>SUM(J14:J18)</f>
        <v>724.13</v>
      </c>
      <c r="K19" s="183">
        <f>SUM(K14:K18)</f>
        <v>15492.037219999997</v>
      </c>
      <c r="L19" s="184">
        <f>SUM(L14:L18)</f>
        <v>185904.44663999995</v>
      </c>
      <c r="M19" s="172">
        <f t="shared" si="0"/>
        <v>14063.892432000051</v>
      </c>
      <c r="N19"/>
    </row>
    <row r="20" spans="1:14" s="1" customFormat="1" ht="15" customHeight="1">
      <c r="A20" s="176" t="s">
        <v>7</v>
      </c>
      <c r="B20" s="308"/>
      <c r="C20" s="487"/>
      <c r="D20" s="496"/>
      <c r="E20" s="496"/>
      <c r="F20" s="496"/>
      <c r="G20" s="703"/>
      <c r="H20" s="245" t="s">
        <v>166</v>
      </c>
      <c r="I20" s="18"/>
      <c r="J20" s="7" t="s">
        <v>164</v>
      </c>
      <c r="K20" s="7" t="s">
        <v>8</v>
      </c>
      <c r="L20" s="13" t="s">
        <v>9</v>
      </c>
      <c r="M20" s="109"/>
      <c r="N20"/>
    </row>
    <row r="21" spans="1:14" s="1" customFormat="1" ht="15" customHeight="1">
      <c r="A21" s="87" t="s">
        <v>461</v>
      </c>
      <c r="B21" s="17"/>
      <c r="C21" s="483"/>
      <c r="D21" s="219"/>
      <c r="E21" s="219"/>
      <c r="F21" s="219"/>
      <c r="G21" s="698"/>
      <c r="H21" s="270"/>
      <c r="I21" s="7"/>
      <c r="J21" s="7"/>
      <c r="K21" s="7"/>
      <c r="L21" s="13"/>
      <c r="M21" s="17"/>
      <c r="N21"/>
    </row>
    <row r="22" spans="1:14" s="1" customFormat="1" ht="15" customHeight="1">
      <c r="A22" s="454" t="s">
        <v>451</v>
      </c>
      <c r="B22" s="471"/>
      <c r="C22" s="483" t="s">
        <v>341</v>
      </c>
      <c r="D22" s="459">
        <v>0</v>
      </c>
      <c r="E22" s="459">
        <v>3630</v>
      </c>
      <c r="F22" s="679">
        <f>D22/E22</f>
        <v>0</v>
      </c>
      <c r="G22" s="704"/>
      <c r="H22" s="274">
        <v>6.5</v>
      </c>
      <c r="I22" s="223">
        <f>D22</f>
        <v>0</v>
      </c>
      <c r="J22" s="223">
        <v>215.67</v>
      </c>
      <c r="K22" s="224">
        <f>J22*I22/100</f>
        <v>0</v>
      </c>
      <c r="L22" s="227">
        <f>K22*H22</f>
        <v>0</v>
      </c>
      <c r="M22" s="225"/>
      <c r="N22"/>
    </row>
    <row r="23" spans="1:16" s="1" customFormat="1" ht="15" customHeight="1">
      <c r="A23" s="454" t="s">
        <v>452</v>
      </c>
      <c r="B23" s="471"/>
      <c r="C23" s="483" t="s">
        <v>341</v>
      </c>
      <c r="D23" s="459">
        <f>'Исход дан'!D41</f>
        <v>0</v>
      </c>
      <c r="E23" s="459">
        <v>3080</v>
      </c>
      <c r="F23" s="679">
        <f>ROUND(D23/E23,3)</f>
        <v>0</v>
      </c>
      <c r="G23" s="704"/>
      <c r="H23" s="275">
        <v>5.5</v>
      </c>
      <c r="I23" s="221">
        <f>I22</f>
        <v>0</v>
      </c>
      <c r="J23" s="221">
        <v>650.95</v>
      </c>
      <c r="K23" s="222">
        <f>J23*I23/100</f>
        <v>0</v>
      </c>
      <c r="L23" s="228">
        <f>K23*H23</f>
        <v>0</v>
      </c>
      <c r="M23" s="226"/>
      <c r="N23"/>
      <c r="P23" s="1" t="s">
        <v>460</v>
      </c>
    </row>
    <row r="24" spans="1:14" s="1" customFormat="1" ht="15" customHeight="1">
      <c r="A24" s="454" t="s">
        <v>453</v>
      </c>
      <c r="B24" s="471"/>
      <c r="C24" s="483" t="s">
        <v>341</v>
      </c>
      <c r="D24" s="459">
        <v>0</v>
      </c>
      <c r="E24" s="459">
        <v>2500</v>
      </c>
      <c r="F24" s="679">
        <f>ROUND(D24/E24,3)</f>
        <v>0</v>
      </c>
      <c r="G24" s="704"/>
      <c r="H24" s="270"/>
      <c r="I24" s="7"/>
      <c r="J24" s="7"/>
      <c r="K24" s="10"/>
      <c r="L24" s="119"/>
      <c r="M24" s="17"/>
      <c r="N24"/>
    </row>
    <row r="25" spans="1:14" s="1" customFormat="1" ht="15" customHeight="1">
      <c r="A25" s="454" t="s">
        <v>567</v>
      </c>
      <c r="B25" s="471"/>
      <c r="C25" s="483" t="s">
        <v>341</v>
      </c>
      <c r="D25" s="459">
        <f>'Исход дан'!D42</f>
        <v>2139</v>
      </c>
      <c r="E25" s="459"/>
      <c r="F25" s="679">
        <f>D25/E24</f>
        <v>0.8556</v>
      </c>
      <c r="G25" s="704"/>
      <c r="H25" s="270"/>
      <c r="I25" s="7"/>
      <c r="J25" s="7"/>
      <c r="K25" s="10"/>
      <c r="L25" s="119"/>
      <c r="M25" s="17"/>
      <c r="N25"/>
    </row>
    <row r="26" spans="1:14" s="1" customFormat="1" ht="15" customHeight="1">
      <c r="A26" s="454" t="s">
        <v>454</v>
      </c>
      <c r="B26" s="471"/>
      <c r="C26" s="483" t="s">
        <v>341</v>
      </c>
      <c r="D26" s="459">
        <f>'Исход дан'!D43</f>
        <v>0</v>
      </c>
      <c r="E26" s="459">
        <v>2340</v>
      </c>
      <c r="F26" s="679">
        <f>ROUND(D26/E26,3)</f>
        <v>0</v>
      </c>
      <c r="G26" s="704"/>
      <c r="H26" s="274">
        <v>6.5</v>
      </c>
      <c r="I26" s="223">
        <f>D26</f>
        <v>0</v>
      </c>
      <c r="J26" s="223">
        <v>279.99</v>
      </c>
      <c r="K26" s="224">
        <f>J26*I26/100</f>
        <v>0</v>
      </c>
      <c r="L26" s="227">
        <f>K26*H26</f>
        <v>0</v>
      </c>
      <c r="M26" s="225"/>
      <c r="N26"/>
    </row>
    <row r="27" spans="1:14" s="1" customFormat="1" ht="15" customHeight="1">
      <c r="A27" s="454" t="s">
        <v>455</v>
      </c>
      <c r="B27" s="471"/>
      <c r="C27" s="483" t="s">
        <v>341</v>
      </c>
      <c r="D27" s="459">
        <f>'Исход дан'!D44</f>
        <v>0</v>
      </c>
      <c r="E27" s="459">
        <v>1980</v>
      </c>
      <c r="F27" s="679">
        <f>ROUND(D27/E27,3)</f>
        <v>0</v>
      </c>
      <c r="G27" s="704"/>
      <c r="H27" s="275">
        <v>5.5</v>
      </c>
      <c r="I27" s="221">
        <f>I26</f>
        <v>0</v>
      </c>
      <c r="J27" s="221">
        <v>931.98</v>
      </c>
      <c r="K27" s="222">
        <f>J27*I27/100</f>
        <v>0</v>
      </c>
      <c r="L27" s="228">
        <f>K27*H27</f>
        <v>0</v>
      </c>
      <c r="M27" s="226"/>
      <c r="N27"/>
    </row>
    <row r="28" spans="1:14" s="1" customFormat="1" ht="15" customHeight="1">
      <c r="A28" s="454" t="s">
        <v>456</v>
      </c>
      <c r="B28" s="471"/>
      <c r="C28" s="483" t="s">
        <v>341</v>
      </c>
      <c r="D28" s="459">
        <f>'Исход дан'!D45</f>
        <v>0</v>
      </c>
      <c r="E28" s="459">
        <v>1610</v>
      </c>
      <c r="F28" s="679">
        <f>ROUND(D28/E28,3)</f>
        <v>0</v>
      </c>
      <c r="G28" s="704"/>
      <c r="H28" s="270"/>
      <c r="I28" s="7"/>
      <c r="J28" s="7"/>
      <c r="K28" s="10"/>
      <c r="L28" s="119"/>
      <c r="M28" s="17"/>
      <c r="N28"/>
    </row>
    <row r="29" spans="1:14" s="1" customFormat="1" ht="15" customHeight="1">
      <c r="A29" s="454"/>
      <c r="B29" s="471"/>
      <c r="C29" s="483"/>
      <c r="D29" s="459"/>
      <c r="E29" s="459"/>
      <c r="F29" s="723"/>
      <c r="G29" s="704"/>
      <c r="H29" s="270"/>
      <c r="I29" s="7"/>
      <c r="J29" s="7"/>
      <c r="K29" s="10"/>
      <c r="L29" s="119"/>
      <c r="M29" s="17"/>
      <c r="N29"/>
    </row>
    <row r="30" spans="1:14" s="1" customFormat="1" ht="15" customHeight="1">
      <c r="A30" s="454" t="s">
        <v>457</v>
      </c>
      <c r="B30" s="471"/>
      <c r="C30" s="483" t="s">
        <v>341</v>
      </c>
      <c r="D30" s="459">
        <f>'Исход дан'!D46</f>
        <v>0</v>
      </c>
      <c r="E30" s="459">
        <v>30000</v>
      </c>
      <c r="F30" s="679">
        <f>ROUND(D30/E30,3)</f>
        <v>0</v>
      </c>
      <c r="G30" s="704"/>
      <c r="H30" s="274">
        <v>6.5</v>
      </c>
      <c r="I30" s="223">
        <f>D30</f>
        <v>0</v>
      </c>
      <c r="J30" s="223">
        <v>77.76</v>
      </c>
      <c r="K30" s="224">
        <f>J30*I30/100</f>
        <v>0</v>
      </c>
      <c r="L30" s="227">
        <f>K30*H30</f>
        <v>0</v>
      </c>
      <c r="M30" s="225"/>
      <c r="N30"/>
    </row>
    <row r="31" spans="1:14" s="1" customFormat="1" ht="15" customHeight="1">
      <c r="A31" s="833" t="s">
        <v>577</v>
      </c>
      <c r="B31" s="471"/>
      <c r="C31" s="483"/>
      <c r="D31" s="459"/>
      <c r="E31" s="459"/>
      <c r="F31" s="679">
        <f>F22+F23+F24+F25+F26+F27+F28+F30</f>
        <v>0.8556</v>
      </c>
      <c r="G31" s="704"/>
      <c r="H31" s="274"/>
      <c r="I31" s="223"/>
      <c r="J31" s="223"/>
      <c r="K31" s="224"/>
      <c r="L31" s="227"/>
      <c r="M31" s="225"/>
      <c r="N31"/>
    </row>
    <row r="32" spans="1:13" s="33" customFormat="1" ht="15" customHeight="1" thickBot="1">
      <c r="A32" s="89" t="s">
        <v>573</v>
      </c>
      <c r="B32" s="826"/>
      <c r="C32" s="483" t="s">
        <v>341</v>
      </c>
      <c r="D32" s="219" t="s">
        <v>341</v>
      </c>
      <c r="E32" s="219" t="s">
        <v>341</v>
      </c>
      <c r="F32" s="827">
        <v>1.12</v>
      </c>
      <c r="G32" s="828"/>
      <c r="H32" s="829"/>
      <c r="I32" s="35"/>
      <c r="J32" s="35"/>
      <c r="K32" s="40"/>
      <c r="L32" s="100"/>
      <c r="M32" s="107"/>
    </row>
    <row r="33" spans="1:14" s="5" customFormat="1" ht="18.75" customHeight="1" thickBot="1">
      <c r="A33" s="386" t="s">
        <v>459</v>
      </c>
      <c r="B33" s="467"/>
      <c r="C33" s="486" t="s">
        <v>341</v>
      </c>
      <c r="D33" s="460" t="s">
        <v>341</v>
      </c>
      <c r="E33" s="460" t="s">
        <v>341</v>
      </c>
      <c r="F33" s="560">
        <f>F31*F32</f>
        <v>0.9582720000000001</v>
      </c>
      <c r="G33" s="391"/>
      <c r="H33" s="276"/>
      <c r="I33" s="185"/>
      <c r="J33" s="185"/>
      <c r="K33" s="187"/>
      <c r="L33" s="186"/>
      <c r="M33" s="188"/>
      <c r="N33"/>
    </row>
    <row r="34" spans="1:14" ht="24.75" customHeight="1">
      <c r="A34" s="317" t="s">
        <v>416</v>
      </c>
      <c r="B34" s="109" t="s">
        <v>344</v>
      </c>
      <c r="C34" s="487">
        <f>C12</f>
        <v>6000</v>
      </c>
      <c r="D34" s="219" t="s">
        <v>341</v>
      </c>
      <c r="E34" s="219" t="s">
        <v>341</v>
      </c>
      <c r="F34" s="678">
        <f>F33</f>
        <v>0.9582720000000001</v>
      </c>
      <c r="G34" s="705">
        <f>C34*F34*12</f>
        <v>68995.584</v>
      </c>
      <c r="H34" s="270">
        <f>C34</f>
        <v>6000</v>
      </c>
      <c r="I34" s="7"/>
      <c r="J34" s="7"/>
      <c r="K34" s="82"/>
      <c r="L34" s="102"/>
      <c r="M34" s="106"/>
      <c r="N34" s="385"/>
    </row>
    <row r="35" spans="1:13" ht="15" customHeight="1" thickBot="1">
      <c r="A35" s="91" t="s">
        <v>532</v>
      </c>
      <c r="B35" s="783"/>
      <c r="C35" s="786">
        <f>C13</f>
        <v>2300</v>
      </c>
      <c r="D35" s="219" t="s">
        <v>341</v>
      </c>
      <c r="E35" s="219" t="s">
        <v>341</v>
      </c>
      <c r="F35" s="785">
        <f>F34</f>
        <v>0.9582720000000001</v>
      </c>
      <c r="G35" s="705">
        <f>C35*F35*12</f>
        <v>26448.307200000003</v>
      </c>
      <c r="H35" s="277">
        <v>0.5</v>
      </c>
      <c r="I35" s="12"/>
      <c r="J35" s="12"/>
      <c r="K35" s="93"/>
      <c r="L35" s="103"/>
      <c r="M35" s="175"/>
    </row>
    <row r="36" spans="1:14" s="5" customFormat="1" ht="15" customHeight="1" thickBot="1">
      <c r="A36" s="389" t="s">
        <v>10</v>
      </c>
      <c r="B36" s="473" t="s">
        <v>463</v>
      </c>
      <c r="C36" s="484" t="s">
        <v>341</v>
      </c>
      <c r="D36" s="482" t="s">
        <v>341</v>
      </c>
      <c r="E36" s="482" t="s">
        <v>341</v>
      </c>
      <c r="F36" s="482" t="s">
        <v>341</v>
      </c>
      <c r="G36" s="494">
        <f>G34+G35</f>
        <v>95443.89120000001</v>
      </c>
      <c r="H36" s="278"/>
      <c r="I36" s="113"/>
      <c r="J36" s="113"/>
      <c r="K36" s="173"/>
      <c r="L36" s="177"/>
      <c r="M36" s="178"/>
      <c r="N36"/>
    </row>
    <row r="37" spans="1:13" s="22" customFormat="1" ht="15" customHeight="1" thickBot="1">
      <c r="A37" s="455" t="s">
        <v>13</v>
      </c>
      <c r="B37" s="472" t="s">
        <v>197</v>
      </c>
      <c r="C37" s="488">
        <v>0.302</v>
      </c>
      <c r="D37" s="219" t="s">
        <v>341</v>
      </c>
      <c r="E37" s="219" t="s">
        <v>341</v>
      </c>
      <c r="F37" s="219" t="s">
        <v>341</v>
      </c>
      <c r="G37" s="706">
        <f>G36*C37</f>
        <v>28824.055142400004</v>
      </c>
      <c r="H37" s="339">
        <v>0.262</v>
      </c>
      <c r="I37" s="337"/>
      <c r="J37" s="337"/>
      <c r="K37" s="338"/>
      <c r="L37" s="340"/>
      <c r="M37" s="341"/>
    </row>
    <row r="38" spans="1:13" s="22" customFormat="1" ht="15" customHeight="1" thickBot="1">
      <c r="A38" s="455" t="s">
        <v>345</v>
      </c>
      <c r="B38" s="449" t="s">
        <v>350</v>
      </c>
      <c r="C38" s="722">
        <f>'спец инв'!H22</f>
        <v>978</v>
      </c>
      <c r="D38" s="459" t="s">
        <v>341</v>
      </c>
      <c r="E38" s="459" t="s">
        <v>341</v>
      </c>
      <c r="F38" s="679">
        <f>F33</f>
        <v>0.9582720000000001</v>
      </c>
      <c r="G38" s="707">
        <f>C38*F38</f>
        <v>937.1900160000001</v>
      </c>
      <c r="H38" s="332"/>
      <c r="I38" s="331"/>
      <c r="J38" s="331"/>
      <c r="K38" s="331"/>
      <c r="L38" s="329"/>
      <c r="M38" s="333"/>
    </row>
    <row r="39" spans="1:13" s="22" customFormat="1" ht="15" customHeight="1" thickBot="1">
      <c r="A39" s="455" t="s">
        <v>346</v>
      </c>
      <c r="B39" s="449" t="s">
        <v>350</v>
      </c>
      <c r="C39" s="722">
        <f>'спец инв'!H69</f>
        <v>4364.344589583334</v>
      </c>
      <c r="D39" s="459" t="s">
        <v>341</v>
      </c>
      <c r="E39" s="459" t="s">
        <v>341</v>
      </c>
      <c r="F39" s="679">
        <f>F38</f>
        <v>0.9582720000000001</v>
      </c>
      <c r="G39" s="707">
        <f>C39*F39</f>
        <v>4182.229218549201</v>
      </c>
      <c r="H39" s="332"/>
      <c r="I39" s="334"/>
      <c r="J39" s="331"/>
      <c r="K39" s="331"/>
      <c r="L39" s="329"/>
      <c r="M39" s="333"/>
    </row>
    <row r="40" spans="1:13" s="22" customFormat="1" ht="15" customHeight="1" thickBot="1">
      <c r="A40" s="455" t="s">
        <v>347</v>
      </c>
      <c r="B40" s="449" t="s">
        <v>350</v>
      </c>
      <c r="C40" s="722">
        <f>'спец инв'!H56</f>
        <v>3283.2708333333335</v>
      </c>
      <c r="D40" s="459" t="s">
        <v>341</v>
      </c>
      <c r="E40" s="459" t="s">
        <v>341</v>
      </c>
      <c r="F40" s="679">
        <f>F39</f>
        <v>0.9582720000000001</v>
      </c>
      <c r="G40" s="707">
        <f>C40*F40</f>
        <v>3146.2665080000006</v>
      </c>
      <c r="H40" s="332"/>
      <c r="I40" s="334"/>
      <c r="J40" s="331"/>
      <c r="K40" s="331"/>
      <c r="L40" s="329"/>
      <c r="M40" s="333"/>
    </row>
    <row r="41" spans="1:13" s="22" customFormat="1" ht="15" customHeight="1" thickBot="1">
      <c r="A41" s="455" t="s">
        <v>348</v>
      </c>
      <c r="B41" s="449" t="s">
        <v>440</v>
      </c>
      <c r="C41" s="489" t="s">
        <v>341</v>
      </c>
      <c r="D41" s="459" t="s">
        <v>341</v>
      </c>
      <c r="E41" s="459" t="s">
        <v>341</v>
      </c>
      <c r="F41" s="459" t="s">
        <v>341</v>
      </c>
      <c r="G41" s="707">
        <v>1490.16</v>
      </c>
      <c r="H41" s="336"/>
      <c r="I41" s="330"/>
      <c r="J41" s="331"/>
      <c r="K41" s="331"/>
      <c r="L41" s="335"/>
      <c r="M41" s="333"/>
    </row>
    <row r="42" spans="1:14" s="5" customFormat="1" ht="30.75" customHeight="1" thickBot="1">
      <c r="A42" s="318" t="s">
        <v>419</v>
      </c>
      <c r="B42" s="470"/>
      <c r="C42" s="485" t="s">
        <v>341</v>
      </c>
      <c r="D42" s="491" t="s">
        <v>341</v>
      </c>
      <c r="E42" s="491" t="s">
        <v>341</v>
      </c>
      <c r="F42" s="491" t="s">
        <v>341</v>
      </c>
      <c r="G42" s="708">
        <f>G36+G37+G38+G39+G40+G41</f>
        <v>134023.7920849492</v>
      </c>
      <c r="H42" s="278"/>
      <c r="I42" s="113"/>
      <c r="J42" s="113"/>
      <c r="K42" s="173" t="e">
        <f>L42/12</f>
        <v>#REF!</v>
      </c>
      <c r="L42" s="174" t="e">
        <f>#REF!+L32</f>
        <v>#REF!</v>
      </c>
      <c r="M42" s="106" t="e">
        <f>G42-L42</f>
        <v>#REF!</v>
      </c>
      <c r="N42"/>
    </row>
    <row r="43" spans="1:14" s="2" customFormat="1" ht="15" customHeight="1">
      <c r="A43" s="176" t="s">
        <v>11</v>
      </c>
      <c r="B43" s="308"/>
      <c r="C43" s="487"/>
      <c r="D43" s="496"/>
      <c r="E43" s="496"/>
      <c r="F43" s="300"/>
      <c r="G43" s="703"/>
      <c r="H43" s="245"/>
      <c r="I43" s="18"/>
      <c r="J43" s="18"/>
      <c r="K43" s="18"/>
      <c r="L43" s="94"/>
      <c r="M43" s="109"/>
      <c r="N43"/>
    </row>
    <row r="44" spans="1:14" s="1" customFormat="1" ht="27.75" customHeight="1">
      <c r="A44" s="87" t="s">
        <v>420</v>
      </c>
      <c r="B44" s="17"/>
      <c r="C44" s="459" t="s">
        <v>341</v>
      </c>
      <c r="D44" s="219">
        <f>'Исход дан'!D12</f>
        <v>0</v>
      </c>
      <c r="E44" s="219"/>
      <c r="F44" s="679">
        <v>0</v>
      </c>
      <c r="G44" s="698"/>
      <c r="H44" s="270"/>
      <c r="I44" s="7">
        <v>0</v>
      </c>
      <c r="J44" s="7">
        <v>0.23</v>
      </c>
      <c r="K44" s="92">
        <f>I44*J44</f>
        <v>0</v>
      </c>
      <c r="L44" s="13"/>
      <c r="M44" s="17"/>
      <c r="N44"/>
    </row>
    <row r="45" spans="1:14" s="1" customFormat="1" ht="15" customHeight="1">
      <c r="A45" s="88" t="s">
        <v>411</v>
      </c>
      <c r="B45" s="17"/>
      <c r="C45" s="459" t="s">
        <v>341</v>
      </c>
      <c r="D45" s="459" t="s">
        <v>341</v>
      </c>
      <c r="E45" s="459" t="s">
        <v>341</v>
      </c>
      <c r="F45" s="724">
        <v>1.12</v>
      </c>
      <c r="G45" s="698"/>
      <c r="H45" s="270"/>
      <c r="I45" s="7"/>
      <c r="J45" s="7"/>
      <c r="K45" s="84">
        <f>10/249*K44</f>
        <v>0</v>
      </c>
      <c r="L45" s="13"/>
      <c r="M45" s="17"/>
      <c r="N45"/>
    </row>
    <row r="46" spans="1:14" s="74" customFormat="1" ht="18.75" customHeight="1">
      <c r="A46" s="393" t="s">
        <v>462</v>
      </c>
      <c r="B46" s="474"/>
      <c r="C46" s="725"/>
      <c r="D46" s="726"/>
      <c r="E46" s="726"/>
      <c r="F46" s="727">
        <f>F44*F45</f>
        <v>0</v>
      </c>
      <c r="G46" s="709"/>
      <c r="H46" s="368"/>
      <c r="I46" s="367"/>
      <c r="J46" s="367"/>
      <c r="K46" s="369">
        <f>SUM(K44:K45)</f>
        <v>0</v>
      </c>
      <c r="L46" s="370"/>
      <c r="M46" s="371"/>
      <c r="N46" s="264"/>
    </row>
    <row r="47" spans="1:14" s="1" customFormat="1" ht="25.5" customHeight="1">
      <c r="A47" s="87" t="s">
        <v>416</v>
      </c>
      <c r="B47" s="17" t="s">
        <v>344</v>
      </c>
      <c r="C47" s="483"/>
      <c r="D47" s="219" t="s">
        <v>341</v>
      </c>
      <c r="E47" s="219" t="s">
        <v>341</v>
      </c>
      <c r="F47" s="678">
        <f>F46</f>
        <v>0</v>
      </c>
      <c r="G47" s="700">
        <f>C47*F47*12</f>
        <v>0</v>
      </c>
      <c r="H47" s="270">
        <f>C47</f>
        <v>0</v>
      </c>
      <c r="I47" s="7">
        <v>0</v>
      </c>
      <c r="J47" s="7">
        <v>675.64</v>
      </c>
      <c r="K47" s="82">
        <f>I47*J47</f>
        <v>0</v>
      </c>
      <c r="L47" s="96">
        <f>K47*12</f>
        <v>0</v>
      </c>
      <c r="M47" s="106">
        <f aca="true" t="shared" si="1" ref="M47:M60">G47-L47</f>
        <v>0</v>
      </c>
      <c r="N47"/>
    </row>
    <row r="48" spans="1:14" s="1" customFormat="1" ht="15" customHeight="1">
      <c r="A48" s="87" t="s">
        <v>5</v>
      </c>
      <c r="B48" s="17" t="s">
        <v>197</v>
      </c>
      <c r="C48" s="720"/>
      <c r="D48" s="219" t="s">
        <v>341</v>
      </c>
      <c r="E48" s="219" t="s">
        <v>341</v>
      </c>
      <c r="F48" s="219" t="s">
        <v>341</v>
      </c>
      <c r="G48" s="700">
        <f>G47*C48</f>
        <v>0</v>
      </c>
      <c r="H48" s="271">
        <f>C48</f>
        <v>0</v>
      </c>
      <c r="I48" s="7">
        <v>0</v>
      </c>
      <c r="J48" s="7">
        <v>270.26</v>
      </c>
      <c r="K48" s="82">
        <f>I48*J48</f>
        <v>0</v>
      </c>
      <c r="L48" s="96">
        <f>K48*12</f>
        <v>0</v>
      </c>
      <c r="M48" s="106">
        <f t="shared" si="1"/>
        <v>0</v>
      </c>
      <c r="N48"/>
    </row>
    <row r="49" spans="1:14" s="4" customFormat="1" ht="15" customHeight="1">
      <c r="A49" s="389" t="s">
        <v>10</v>
      </c>
      <c r="B49" s="473" t="s">
        <v>463</v>
      </c>
      <c r="C49" s="484" t="s">
        <v>341</v>
      </c>
      <c r="D49" s="482" t="s">
        <v>341</v>
      </c>
      <c r="E49" s="482" t="s">
        <v>341</v>
      </c>
      <c r="F49" s="482" t="s">
        <v>341</v>
      </c>
      <c r="G49" s="494">
        <f>G47+G48</f>
        <v>0</v>
      </c>
      <c r="H49" s="231"/>
      <c r="I49" s="9"/>
      <c r="J49" s="9"/>
      <c r="K49" s="86">
        <f>SUM(K47:K48)</f>
        <v>0</v>
      </c>
      <c r="L49" s="97">
        <f>SUM(L47:L48)</f>
        <v>0</v>
      </c>
      <c r="M49" s="106">
        <f t="shared" si="1"/>
        <v>0</v>
      </c>
      <c r="N49"/>
    </row>
    <row r="50" spans="1:14" s="1" customFormat="1" ht="15" customHeight="1">
      <c r="A50" s="87" t="s">
        <v>12</v>
      </c>
      <c r="B50" s="17" t="s">
        <v>197</v>
      </c>
      <c r="C50" s="721"/>
      <c r="D50" s="219" t="s">
        <v>341</v>
      </c>
      <c r="E50" s="219" t="s">
        <v>341</v>
      </c>
      <c r="F50" s="219" t="s">
        <v>341</v>
      </c>
      <c r="G50" s="700">
        <f>G49*C50</f>
        <v>0</v>
      </c>
      <c r="H50" s="272">
        <v>0.262</v>
      </c>
      <c r="I50" s="7">
        <v>0</v>
      </c>
      <c r="J50" s="7">
        <v>299.64</v>
      </c>
      <c r="K50" s="82">
        <f>I50*J50</f>
        <v>0</v>
      </c>
      <c r="L50" s="98">
        <f>K50*12</f>
        <v>0</v>
      </c>
      <c r="M50" s="106">
        <f t="shared" si="1"/>
        <v>0</v>
      </c>
      <c r="N50"/>
    </row>
    <row r="51" spans="1:14" s="33" customFormat="1" ht="15" customHeight="1">
      <c r="A51" s="89" t="s">
        <v>6</v>
      </c>
      <c r="B51" s="449" t="s">
        <v>350</v>
      </c>
      <c r="C51" s="722">
        <f>'спец инв'!H30</f>
        <v>1098</v>
      </c>
      <c r="D51" s="461" t="s">
        <v>341</v>
      </c>
      <c r="E51" s="461" t="s">
        <v>341</v>
      </c>
      <c r="F51" s="733">
        <f>F46</f>
        <v>0</v>
      </c>
      <c r="G51" s="495">
        <f>C51*F51</f>
        <v>0</v>
      </c>
      <c r="H51" s="279"/>
      <c r="I51" s="7">
        <v>0</v>
      </c>
      <c r="J51" s="35">
        <v>8.91</v>
      </c>
      <c r="K51" s="82">
        <f>I51*J51</f>
        <v>0</v>
      </c>
      <c r="L51" s="98">
        <f>K51*12</f>
        <v>0</v>
      </c>
      <c r="M51" s="106">
        <f t="shared" si="1"/>
        <v>0</v>
      </c>
      <c r="N51"/>
    </row>
    <row r="52" spans="1:14" s="33" customFormat="1" ht="15" customHeight="1">
      <c r="A52" s="89" t="s">
        <v>25</v>
      </c>
      <c r="B52" s="449" t="s">
        <v>350</v>
      </c>
      <c r="C52" s="728">
        <f>'спец инв'!H79</f>
        <v>3470.666666666667</v>
      </c>
      <c r="D52" s="461" t="s">
        <v>341</v>
      </c>
      <c r="E52" s="461" t="s">
        <v>341</v>
      </c>
      <c r="F52" s="733">
        <f>F46</f>
        <v>0</v>
      </c>
      <c r="G52" s="495">
        <f>C52*F52</f>
        <v>0</v>
      </c>
      <c r="H52" s="279"/>
      <c r="I52" s="7">
        <v>0</v>
      </c>
      <c r="J52" s="35">
        <v>116.64</v>
      </c>
      <c r="K52" s="82">
        <f>I52*J52</f>
        <v>0</v>
      </c>
      <c r="L52" s="98">
        <f>K52*12</f>
        <v>0</v>
      </c>
      <c r="M52" s="106">
        <f t="shared" si="1"/>
        <v>0</v>
      </c>
      <c r="N52"/>
    </row>
    <row r="53" spans="1:14" s="33" customFormat="1" ht="15" customHeight="1" thickBot="1">
      <c r="A53" s="390" t="s">
        <v>57</v>
      </c>
      <c r="B53" s="475"/>
      <c r="C53" s="729" t="s">
        <v>341</v>
      </c>
      <c r="D53" s="461" t="s">
        <v>341</v>
      </c>
      <c r="E53" s="461" t="s">
        <v>341</v>
      </c>
      <c r="F53" s="219" t="s">
        <v>341</v>
      </c>
      <c r="G53" s="701">
        <f>'спец инв'!K95</f>
        <v>0</v>
      </c>
      <c r="H53" s="279"/>
      <c r="I53" s="7">
        <v>0</v>
      </c>
      <c r="J53" s="35"/>
      <c r="K53" s="82">
        <f>I53*J53</f>
        <v>0</v>
      </c>
      <c r="L53" s="98">
        <f>K53*12</f>
        <v>0</v>
      </c>
      <c r="M53" s="106">
        <f t="shared" si="1"/>
        <v>0</v>
      </c>
      <c r="N53"/>
    </row>
    <row r="54" spans="1:14" s="5" customFormat="1" ht="27.75" customHeight="1" thickBot="1">
      <c r="A54" s="318" t="s">
        <v>417</v>
      </c>
      <c r="B54" s="470"/>
      <c r="C54" s="485" t="s">
        <v>341</v>
      </c>
      <c r="D54" s="491" t="s">
        <v>341</v>
      </c>
      <c r="E54" s="491" t="s">
        <v>341</v>
      </c>
      <c r="F54" s="491" t="s">
        <v>341</v>
      </c>
      <c r="G54" s="710">
        <f>G49+G50+G51+G52+G53</f>
        <v>0</v>
      </c>
      <c r="H54" s="281"/>
      <c r="I54" s="80"/>
      <c r="J54" s="80">
        <f>SUM(J47:J53)</f>
        <v>1371.0900000000001</v>
      </c>
      <c r="K54" s="241">
        <f>SUM(K49:K53)</f>
        <v>0</v>
      </c>
      <c r="L54" s="242">
        <f>SUM(L49:L53)</f>
        <v>0</v>
      </c>
      <c r="M54" s="178">
        <f t="shared" si="1"/>
        <v>0</v>
      </c>
      <c r="N54"/>
    </row>
    <row r="55" spans="1:14" s="21" customFormat="1" ht="15" customHeight="1" thickBot="1">
      <c r="A55" s="480" t="str">
        <f>'спец инв'!A96</f>
        <v>Мыло хозяйственное</v>
      </c>
      <c r="B55" s="476"/>
      <c r="C55" s="729" t="s">
        <v>341</v>
      </c>
      <c r="D55" s="461" t="s">
        <v>341</v>
      </c>
      <c r="E55" s="461" t="s">
        <v>341</v>
      </c>
      <c r="F55" s="219" t="s">
        <v>341</v>
      </c>
      <c r="G55" s="711">
        <f>'спец инв'!K96</f>
        <v>94.32</v>
      </c>
      <c r="H55" s="374"/>
      <c r="I55" s="372"/>
      <c r="J55" s="372"/>
      <c r="K55" s="373"/>
      <c r="L55" s="375"/>
      <c r="M55" s="376"/>
      <c r="N55" s="377"/>
    </row>
    <row r="56" spans="1:14" s="21" customFormat="1" ht="15" customHeight="1" thickBot="1">
      <c r="A56" s="481" t="str">
        <f>'спец инв'!A97</f>
        <v>Эл/лампочки</v>
      </c>
      <c r="B56" s="477"/>
      <c r="C56" s="729" t="s">
        <v>341</v>
      </c>
      <c r="D56" s="461" t="s">
        <v>341</v>
      </c>
      <c r="E56" s="461" t="s">
        <v>341</v>
      </c>
      <c r="F56" s="244" t="s">
        <v>341</v>
      </c>
      <c r="G56" s="701">
        <f>'спец инв'!K97</f>
        <v>2430</v>
      </c>
      <c r="H56" s="374"/>
      <c r="I56" s="372"/>
      <c r="J56" s="372"/>
      <c r="K56" s="373"/>
      <c r="L56" s="375"/>
      <c r="M56" s="376"/>
      <c r="N56" s="377"/>
    </row>
    <row r="57" spans="1:14" s="21" customFormat="1" ht="15" customHeight="1" thickBot="1">
      <c r="A57" s="456" t="str">
        <f>'спец инв'!A98</f>
        <v>Лампа над подъездом</v>
      </c>
      <c r="B57" s="478"/>
      <c r="C57" s="730" t="s">
        <v>341</v>
      </c>
      <c r="D57" s="466" t="s">
        <v>341</v>
      </c>
      <c r="E57" s="466" t="s">
        <v>341</v>
      </c>
      <c r="F57" s="219" t="s">
        <v>341</v>
      </c>
      <c r="G57" s="522">
        <f>'спец инв'!K98</f>
        <v>54</v>
      </c>
      <c r="H57" s="374"/>
      <c r="I57" s="372"/>
      <c r="J57" s="372"/>
      <c r="K57" s="373"/>
      <c r="L57" s="375"/>
      <c r="M57" s="376"/>
      <c r="N57" s="377"/>
    </row>
    <row r="58" spans="1:14" s="21" customFormat="1" ht="15" customHeight="1" thickBot="1">
      <c r="A58" s="456"/>
      <c r="B58" s="478"/>
      <c r="C58" s="730"/>
      <c r="D58" s="466"/>
      <c r="E58" s="466"/>
      <c r="F58" s="219"/>
      <c r="G58" s="522"/>
      <c r="H58" s="374"/>
      <c r="I58" s="372"/>
      <c r="J58" s="372"/>
      <c r="K58" s="373"/>
      <c r="L58" s="375"/>
      <c r="M58" s="376"/>
      <c r="N58" s="377"/>
    </row>
    <row r="59" spans="1:14" s="21" customFormat="1" ht="29.25" customHeight="1" thickBot="1">
      <c r="A59" s="465" t="s">
        <v>418</v>
      </c>
      <c r="B59" s="473" t="s">
        <v>463</v>
      </c>
      <c r="C59" s="490" t="s">
        <v>341</v>
      </c>
      <c r="D59" s="492" t="s">
        <v>341</v>
      </c>
      <c r="E59" s="492" t="s">
        <v>341</v>
      </c>
      <c r="F59" s="492" t="s">
        <v>341</v>
      </c>
      <c r="G59" s="712">
        <f>G55+G56+G57</f>
        <v>2578.32</v>
      </c>
      <c r="H59" s="374"/>
      <c r="I59" s="372"/>
      <c r="J59" s="372"/>
      <c r="K59" s="373"/>
      <c r="L59" s="375"/>
      <c r="M59" s="376"/>
      <c r="N59" s="377"/>
    </row>
    <row r="60" spans="1:15" s="5" customFormat="1" ht="31.5" customHeight="1" thickBot="1">
      <c r="A60" s="388" t="s">
        <v>421</v>
      </c>
      <c r="B60" s="479"/>
      <c r="C60" s="731" t="s">
        <v>341</v>
      </c>
      <c r="D60" s="499" t="s">
        <v>341</v>
      </c>
      <c r="E60" s="499" t="s">
        <v>341</v>
      </c>
      <c r="F60" s="500" t="s">
        <v>341</v>
      </c>
      <c r="G60" s="713">
        <f>G19+G42+G54+G59</f>
        <v>336570.4511569492</v>
      </c>
      <c r="H60" s="282"/>
      <c r="I60" s="179"/>
      <c r="J60" s="179"/>
      <c r="K60" s="180" t="e">
        <f>L60/12</f>
        <v>#REF!</v>
      </c>
      <c r="L60" s="181" t="e">
        <f>L19+L42+L54</f>
        <v>#REF!</v>
      </c>
      <c r="M60" s="182" t="e">
        <f t="shared" si="1"/>
        <v>#REF!</v>
      </c>
      <c r="N60"/>
      <c r="O60" s="381"/>
    </row>
    <row r="61" spans="1:14" s="90" customFormat="1" ht="30.75" customHeight="1" thickBot="1">
      <c r="A61" s="497" t="s">
        <v>61</v>
      </c>
      <c r="B61" s="498"/>
      <c r="C61" s="732" t="s">
        <v>341</v>
      </c>
      <c r="D61" s="501" t="s">
        <v>341</v>
      </c>
      <c r="E61" s="501" t="s">
        <v>341</v>
      </c>
      <c r="F61" s="502" t="s">
        <v>341</v>
      </c>
      <c r="G61" s="680">
        <f>G60/D7/12</f>
        <v>4.6561203221243135</v>
      </c>
      <c r="H61" s="191"/>
      <c r="I61" s="122"/>
      <c r="J61" s="190"/>
      <c r="K61" s="189" t="e">
        <f>L60/I7/12</f>
        <v>#REF!</v>
      </c>
      <c r="L61" s="192"/>
      <c r="M61" s="214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view="pageBreakPreview" zoomScale="60" zoomScalePageLayoutView="0" workbookViewId="0" topLeftCell="A1">
      <pane xSplit="1" ySplit="5" topLeftCell="B4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104" sqref="G104"/>
    </sheetView>
  </sheetViews>
  <sheetFormatPr defaultColWidth="9.00390625" defaultRowHeight="12.75"/>
  <cols>
    <col min="1" max="1" width="25.50390625" style="30" customWidth="1"/>
    <col min="2" max="2" width="16.00390625" style="152" customWidth="1"/>
    <col min="3" max="3" width="7.125" style="30" bestFit="1" customWidth="1"/>
    <col min="4" max="4" width="6.50390625" style="30" bestFit="1" customWidth="1"/>
    <col min="5" max="5" width="8.875" style="30" bestFit="1" customWidth="1"/>
    <col min="6" max="6" width="8.875" style="30" customWidth="1"/>
    <col min="7" max="7" width="9.50390625" style="30" bestFit="1" customWidth="1"/>
    <col min="8" max="8" width="11.50390625" style="30" customWidth="1"/>
    <col min="9" max="9" width="9.375" style="30" customWidth="1"/>
    <col min="10" max="10" width="10.00390625" style="30" bestFit="1" customWidth="1"/>
    <col min="11" max="11" width="12.00390625" style="30" customWidth="1"/>
    <col min="12" max="12" width="10.625" style="130" bestFit="1" customWidth="1"/>
    <col min="13" max="13" width="9.125" style="130" customWidth="1"/>
    <col min="14" max="14" width="9.125" style="131" customWidth="1"/>
    <col min="15" max="132" width="9.125" style="132" customWidth="1"/>
  </cols>
  <sheetData>
    <row r="1" spans="1:132" s="27" customFormat="1" ht="20.25" customHeight="1">
      <c r="A1" s="852" t="s">
        <v>46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127"/>
      <c r="M1" s="127"/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</row>
    <row r="2" ht="13.5" thickBot="1">
      <c r="A2" s="127" t="s">
        <v>466</v>
      </c>
    </row>
    <row r="3" spans="1:132" s="2" customFormat="1" ht="84" customHeight="1">
      <c r="A3" s="853" t="s">
        <v>0</v>
      </c>
      <c r="B3" s="153" t="s">
        <v>113</v>
      </c>
      <c r="C3" s="848" t="s">
        <v>2</v>
      </c>
      <c r="D3" s="848"/>
      <c r="E3" s="848" t="s">
        <v>315</v>
      </c>
      <c r="F3" s="41" t="s">
        <v>422</v>
      </c>
      <c r="G3" s="123" t="s">
        <v>335</v>
      </c>
      <c r="H3" s="202" t="s">
        <v>334</v>
      </c>
      <c r="I3" s="850" t="s">
        <v>44</v>
      </c>
      <c r="J3" s="851"/>
      <c r="K3" s="202" t="s">
        <v>336</v>
      </c>
      <c r="L3" s="133"/>
      <c r="M3" s="133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</row>
    <row r="4" spans="1:132" s="2" customFormat="1" ht="53.25" thickBot="1">
      <c r="A4" s="854"/>
      <c r="B4" s="154"/>
      <c r="C4" s="536" t="s">
        <v>316</v>
      </c>
      <c r="D4" s="536" t="s">
        <v>14</v>
      </c>
      <c r="E4" s="849"/>
      <c r="F4" s="536" t="s">
        <v>431</v>
      </c>
      <c r="G4" s="537" t="s">
        <v>406</v>
      </c>
      <c r="H4" s="538" t="s">
        <v>432</v>
      </c>
      <c r="I4" s="539" t="s">
        <v>510</v>
      </c>
      <c r="J4" s="537" t="s">
        <v>433</v>
      </c>
      <c r="K4" s="538" t="s">
        <v>434</v>
      </c>
      <c r="L4" s="133"/>
      <c r="M4" s="133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</row>
    <row r="5" spans="1:132" s="28" customFormat="1" ht="14.25" customHeight="1" thickBot="1">
      <c r="A5" s="58">
        <v>1</v>
      </c>
      <c r="B5" s="554">
        <v>2</v>
      </c>
      <c r="C5" s="19">
        <v>3</v>
      </c>
      <c r="D5" s="19">
        <v>4</v>
      </c>
      <c r="E5" s="58">
        <v>5</v>
      </c>
      <c r="F5" s="19">
        <v>6</v>
      </c>
      <c r="G5" s="555">
        <v>7</v>
      </c>
      <c r="H5" s="203">
        <v>8</v>
      </c>
      <c r="I5" s="554">
        <v>9</v>
      </c>
      <c r="J5" s="555">
        <v>10</v>
      </c>
      <c r="K5" s="203">
        <v>11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</row>
    <row r="6" spans="1:132" s="28" customFormat="1" ht="14.25" customHeight="1">
      <c r="A6" s="553" t="s">
        <v>6</v>
      </c>
      <c r="B6" s="535"/>
      <c r="C6" s="14"/>
      <c r="D6" s="14"/>
      <c r="E6" s="14"/>
      <c r="F6" s="14"/>
      <c r="G6" s="302"/>
      <c r="H6" s="308"/>
      <c r="I6" s="301"/>
      <c r="J6" s="302"/>
      <c r="K6" s="308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</row>
    <row r="7" spans="1:132" s="5" customFormat="1" ht="18" customHeight="1">
      <c r="A7" s="215" t="s">
        <v>1</v>
      </c>
      <c r="B7" s="411"/>
      <c r="C7" s="11"/>
      <c r="D7" s="11"/>
      <c r="E7" s="11"/>
      <c r="F7" s="11"/>
      <c r="G7" s="194"/>
      <c r="H7" s="20"/>
      <c r="I7" s="291">
        <f>'сан содерж'!F11</f>
        <v>1.47056</v>
      </c>
      <c r="J7" s="422"/>
      <c r="K7" s="20"/>
      <c r="L7" s="115"/>
      <c r="M7" s="115"/>
      <c r="N7" s="115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</row>
    <row r="8" spans="1:11" ht="12.75">
      <c r="A8" s="44"/>
      <c r="B8" s="155"/>
      <c r="C8" s="35"/>
      <c r="D8" s="35"/>
      <c r="E8" s="35"/>
      <c r="F8" s="35"/>
      <c r="G8" s="100"/>
      <c r="H8" s="107"/>
      <c r="I8" s="398"/>
      <c r="J8" s="423"/>
      <c r="K8" s="107"/>
    </row>
    <row r="9" spans="1:11" ht="12.75">
      <c r="A9" s="44" t="s">
        <v>22</v>
      </c>
      <c r="B9" s="155"/>
      <c r="C9" s="35">
        <v>12</v>
      </c>
      <c r="D9" s="35">
        <v>1</v>
      </c>
      <c r="E9" s="35">
        <v>12</v>
      </c>
      <c r="F9" s="35">
        <f>D9/C9*E9</f>
        <v>1</v>
      </c>
      <c r="G9" s="100">
        <v>300</v>
      </c>
      <c r="H9" s="204">
        <f>F9*G9</f>
        <v>300</v>
      </c>
      <c r="I9" s="292">
        <f>I7</f>
        <v>1.47056</v>
      </c>
      <c r="J9" s="425">
        <f>F9*I9</f>
        <v>1.47056</v>
      </c>
      <c r="K9" s="204">
        <f>H9*I9</f>
        <v>441.168</v>
      </c>
    </row>
    <row r="10" spans="1:11" ht="12.75">
      <c r="A10" s="44" t="s">
        <v>17</v>
      </c>
      <c r="B10" s="155"/>
      <c r="C10" s="35">
        <v>12</v>
      </c>
      <c r="D10" s="35">
        <v>6</v>
      </c>
      <c r="E10" s="35">
        <v>12</v>
      </c>
      <c r="F10" s="35">
        <f>D10/C10*E10</f>
        <v>6</v>
      </c>
      <c r="G10" s="100">
        <v>15</v>
      </c>
      <c r="H10" s="204">
        <f>F10*G10</f>
        <v>90</v>
      </c>
      <c r="I10" s="292">
        <f>I7</f>
        <v>1.47056</v>
      </c>
      <c r="J10" s="425">
        <f>F10*I10</f>
        <v>8.823360000000001</v>
      </c>
      <c r="K10" s="204">
        <f>H10*I10</f>
        <v>132.3504</v>
      </c>
    </row>
    <row r="11" spans="1:11" ht="12.75">
      <c r="A11" s="44" t="s">
        <v>15</v>
      </c>
      <c r="B11" s="155"/>
      <c r="C11" s="35">
        <v>12</v>
      </c>
      <c r="D11" s="35">
        <v>1</v>
      </c>
      <c r="E11" s="35">
        <v>12</v>
      </c>
      <c r="F11" s="35">
        <f>D11/C11*E11</f>
        <v>1</v>
      </c>
      <c r="G11" s="100">
        <v>200</v>
      </c>
      <c r="H11" s="204">
        <f>F11*G11</f>
        <v>200</v>
      </c>
      <c r="I11" s="292">
        <f>I7</f>
        <v>1.47056</v>
      </c>
      <c r="J11" s="425">
        <f>F11*I11</f>
        <v>1.47056</v>
      </c>
      <c r="K11" s="204">
        <f>H11*I11</f>
        <v>294.112</v>
      </c>
    </row>
    <row r="12" spans="1:11" ht="13.5" thickBot="1">
      <c r="A12" s="53" t="s">
        <v>16</v>
      </c>
      <c r="B12" s="156"/>
      <c r="C12" s="37">
        <v>12</v>
      </c>
      <c r="D12" s="37">
        <v>4</v>
      </c>
      <c r="E12" s="37">
        <v>12</v>
      </c>
      <c r="F12" s="37">
        <f>D12/C12*E12</f>
        <v>4</v>
      </c>
      <c r="G12" s="101">
        <v>23</v>
      </c>
      <c r="H12" s="204">
        <f>F12*G12</f>
        <v>92</v>
      </c>
      <c r="I12" s="292">
        <f>I7</f>
        <v>1.47056</v>
      </c>
      <c r="J12" s="425">
        <f>F12*I12</f>
        <v>5.88224</v>
      </c>
      <c r="K12" s="204">
        <f>H12*I12</f>
        <v>135.29152000000002</v>
      </c>
    </row>
    <row r="13" spans="1:132" s="5" customFormat="1" ht="18" customHeight="1" thickBot="1">
      <c r="A13" s="49" t="s">
        <v>3</v>
      </c>
      <c r="B13" s="161"/>
      <c r="C13" s="50"/>
      <c r="D13" s="50"/>
      <c r="E13" s="50"/>
      <c r="F13" s="50"/>
      <c r="G13" s="193"/>
      <c r="H13" s="205">
        <f>SUM(H9:H12)</f>
        <v>682</v>
      </c>
      <c r="I13" s="287"/>
      <c r="J13" s="193"/>
      <c r="K13" s="205">
        <f>SUM(K9:K12)</f>
        <v>1002.92192</v>
      </c>
      <c r="L13" s="115"/>
      <c r="M13" s="115"/>
      <c r="N13" s="11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</row>
    <row r="14" spans="1:11" ht="12.75">
      <c r="A14" s="51"/>
      <c r="B14" s="157"/>
      <c r="C14" s="52"/>
      <c r="D14" s="52"/>
      <c r="E14" s="52"/>
      <c r="F14" s="54"/>
      <c r="G14" s="125"/>
      <c r="H14" s="206"/>
      <c r="I14" s="288"/>
      <c r="J14" s="424"/>
      <c r="K14" s="206"/>
    </row>
    <row r="15" spans="1:132" s="5" customFormat="1" ht="18" customHeight="1">
      <c r="A15" s="60" t="s">
        <v>18</v>
      </c>
      <c r="B15" s="162"/>
      <c r="C15" s="11"/>
      <c r="D15" s="11"/>
      <c r="E15" s="35"/>
      <c r="F15" s="35"/>
      <c r="G15" s="194"/>
      <c r="H15" s="107"/>
      <c r="I15" s="291">
        <f>'сан содерж'!F33</f>
        <v>0.9582720000000001</v>
      </c>
      <c r="J15" s="422"/>
      <c r="K15" s="107"/>
      <c r="L15" s="115"/>
      <c r="M15" s="115"/>
      <c r="N15" s="115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</row>
    <row r="16" spans="1:11" ht="12.75">
      <c r="A16" s="44"/>
      <c r="B16" s="155"/>
      <c r="C16" s="35"/>
      <c r="D16" s="35"/>
      <c r="E16" s="35"/>
      <c r="F16" s="35"/>
      <c r="G16" s="100"/>
      <c r="H16" s="107"/>
      <c r="I16" s="398"/>
      <c r="J16" s="423"/>
      <c r="K16" s="107"/>
    </row>
    <row r="17" spans="1:11" ht="12.75">
      <c r="A17" s="44" t="s">
        <v>405</v>
      </c>
      <c r="B17" s="155"/>
      <c r="C17" s="35">
        <v>12</v>
      </c>
      <c r="D17" s="35">
        <v>1</v>
      </c>
      <c r="E17" s="35">
        <v>12</v>
      </c>
      <c r="F17" s="35">
        <f>D17/C17*E17</f>
        <v>1</v>
      </c>
      <c r="G17" s="100">
        <v>400</v>
      </c>
      <c r="H17" s="204">
        <f>F17*G17</f>
        <v>400</v>
      </c>
      <c r="I17" s="292">
        <f>I15</f>
        <v>0.9582720000000001</v>
      </c>
      <c r="J17" s="425">
        <f>F17*I17</f>
        <v>0.9582720000000001</v>
      </c>
      <c r="K17" s="204">
        <f>H17*I17</f>
        <v>383.3088000000001</v>
      </c>
    </row>
    <row r="18" spans="1:11" ht="12.75">
      <c r="A18" s="44" t="s">
        <v>19</v>
      </c>
      <c r="B18" s="155"/>
      <c r="C18" s="35">
        <v>12</v>
      </c>
      <c r="D18" s="35">
        <v>1</v>
      </c>
      <c r="E18" s="35">
        <v>12</v>
      </c>
      <c r="F18" s="35">
        <f>D18/C18*E18</f>
        <v>1</v>
      </c>
      <c r="G18" s="100">
        <v>100</v>
      </c>
      <c r="H18" s="204">
        <f>F18*G18</f>
        <v>100</v>
      </c>
      <c r="I18" s="292">
        <f>I15</f>
        <v>0.9582720000000001</v>
      </c>
      <c r="J18" s="425">
        <f>F18*I18</f>
        <v>0.9582720000000001</v>
      </c>
      <c r="K18" s="204">
        <f>H18*I18</f>
        <v>95.82720000000002</v>
      </c>
    </row>
    <row r="19" spans="1:11" ht="12.75">
      <c r="A19" s="44" t="s">
        <v>20</v>
      </c>
      <c r="B19" s="155"/>
      <c r="C19" s="35">
        <v>12</v>
      </c>
      <c r="D19" s="35">
        <v>6</v>
      </c>
      <c r="E19" s="35">
        <v>12</v>
      </c>
      <c r="F19" s="35">
        <f>D19/C19*E19</f>
        <v>6</v>
      </c>
      <c r="G19" s="100">
        <v>13</v>
      </c>
      <c r="H19" s="204">
        <f>F19*G19</f>
        <v>78</v>
      </c>
      <c r="I19" s="292">
        <f>I15</f>
        <v>0.9582720000000001</v>
      </c>
      <c r="J19" s="425">
        <f>F19*I19</f>
        <v>5.749632000000001</v>
      </c>
      <c r="K19" s="204">
        <f>H19*I19</f>
        <v>74.74521600000001</v>
      </c>
    </row>
    <row r="20" spans="1:11" ht="12.75">
      <c r="A20" s="44" t="s">
        <v>21</v>
      </c>
      <c r="B20" s="155"/>
      <c r="C20" s="35">
        <v>24</v>
      </c>
      <c r="D20" s="35">
        <v>1</v>
      </c>
      <c r="E20" s="35">
        <v>12</v>
      </c>
      <c r="F20" s="40">
        <f>D20/C20*E20</f>
        <v>0.5</v>
      </c>
      <c r="G20" s="100">
        <v>400</v>
      </c>
      <c r="H20" s="204">
        <f>F20*G20</f>
        <v>200</v>
      </c>
      <c r="I20" s="292">
        <f>I15</f>
        <v>0.9582720000000001</v>
      </c>
      <c r="J20" s="425">
        <f>F20*I20</f>
        <v>0.47913600000000006</v>
      </c>
      <c r="K20" s="204">
        <f>H20*I20</f>
        <v>191.65440000000004</v>
      </c>
    </row>
    <row r="21" spans="1:11" ht="13.5" thickBot="1">
      <c r="A21" s="53" t="s">
        <v>15</v>
      </c>
      <c r="B21" s="156"/>
      <c r="C21" s="37">
        <v>12</v>
      </c>
      <c r="D21" s="37">
        <v>1</v>
      </c>
      <c r="E21" s="37">
        <v>12</v>
      </c>
      <c r="F21" s="37">
        <f>D21/C21*E21</f>
        <v>1</v>
      </c>
      <c r="G21" s="101">
        <v>200</v>
      </c>
      <c r="H21" s="204">
        <f>F21*G21</f>
        <v>200</v>
      </c>
      <c r="I21" s="292">
        <f>I15</f>
        <v>0.9582720000000001</v>
      </c>
      <c r="J21" s="425">
        <f>F21*I21</f>
        <v>0.9582720000000001</v>
      </c>
      <c r="K21" s="204">
        <f>H21*I21</f>
        <v>191.65440000000004</v>
      </c>
    </row>
    <row r="22" spans="1:132" s="39" customFormat="1" ht="18" customHeight="1" thickBot="1">
      <c r="A22" s="49" t="s">
        <v>3</v>
      </c>
      <c r="B22" s="161"/>
      <c r="C22" s="50"/>
      <c r="D22" s="50"/>
      <c r="E22" s="50"/>
      <c r="F22" s="50"/>
      <c r="G22" s="193"/>
      <c r="H22" s="205">
        <f>SUM(H17:H21)</f>
        <v>978</v>
      </c>
      <c r="I22" s="287"/>
      <c r="J22" s="193"/>
      <c r="K22" s="205">
        <f>SUM(K17:K21)</f>
        <v>937.1900160000001</v>
      </c>
      <c r="L22" s="137"/>
      <c r="M22" s="137"/>
      <c r="N22" s="137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</row>
    <row r="23" spans="1:11" ht="12.75">
      <c r="A23" s="51"/>
      <c r="B23" s="157"/>
      <c r="C23" s="52"/>
      <c r="D23" s="52"/>
      <c r="E23" s="52"/>
      <c r="F23" s="52"/>
      <c r="G23" s="125"/>
      <c r="H23" s="207"/>
      <c r="I23" s="289"/>
      <c r="J23" s="125"/>
      <c r="K23" s="207"/>
    </row>
    <row r="24" spans="1:132" s="4" customFormat="1" ht="26.25">
      <c r="A24" s="59" t="s">
        <v>23</v>
      </c>
      <c r="B24" s="160"/>
      <c r="C24" s="9"/>
      <c r="D24" s="9"/>
      <c r="E24" s="35"/>
      <c r="F24" s="35"/>
      <c r="G24" s="24"/>
      <c r="H24" s="107"/>
      <c r="I24" s="291">
        <f>'сан содерж'!F46</f>
        <v>0</v>
      </c>
      <c r="J24" s="426"/>
      <c r="K24" s="107"/>
      <c r="L24" s="135"/>
      <c r="M24" s="135"/>
      <c r="N24" s="135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</row>
    <row r="25" spans="1:11" ht="12.75">
      <c r="A25" s="44"/>
      <c r="B25" s="155"/>
      <c r="C25" s="35"/>
      <c r="D25" s="35"/>
      <c r="E25" s="35"/>
      <c r="F25" s="35"/>
      <c r="G25" s="100"/>
      <c r="H25" s="107"/>
      <c r="I25" s="398"/>
      <c r="J25" s="423"/>
      <c r="K25" s="107"/>
    </row>
    <row r="26" spans="1:11" ht="12.75">
      <c r="A26" s="44" t="s">
        <v>43</v>
      </c>
      <c r="B26" s="155"/>
      <c r="C26" s="35">
        <v>12</v>
      </c>
      <c r="D26" s="35">
        <v>1</v>
      </c>
      <c r="E26" s="35">
        <v>12</v>
      </c>
      <c r="F26" s="35">
        <f>D26/C26*E26</f>
        <v>1</v>
      </c>
      <c r="G26" s="100">
        <v>400</v>
      </c>
      <c r="H26" s="204">
        <f>F26*G26</f>
        <v>400</v>
      </c>
      <c r="I26" s="292">
        <f>I24</f>
        <v>0</v>
      </c>
      <c r="J26" s="425">
        <f>F26*I26</f>
        <v>0</v>
      </c>
      <c r="K26" s="204">
        <f>H26*I26</f>
        <v>0</v>
      </c>
    </row>
    <row r="27" spans="1:11" ht="12.75">
      <c r="A27" s="44" t="s">
        <v>20</v>
      </c>
      <c r="B27" s="155"/>
      <c r="C27" s="35">
        <v>12</v>
      </c>
      <c r="D27" s="35">
        <v>4</v>
      </c>
      <c r="E27" s="35">
        <v>12</v>
      </c>
      <c r="F27" s="35">
        <f>D27/C27*E27</f>
        <v>4</v>
      </c>
      <c r="G27" s="100">
        <v>37</v>
      </c>
      <c r="H27" s="204">
        <f>F27*G27</f>
        <v>148</v>
      </c>
      <c r="I27" s="292">
        <f>I24</f>
        <v>0</v>
      </c>
      <c r="J27" s="425">
        <f>F27*I27</f>
        <v>0</v>
      </c>
      <c r="K27" s="204">
        <f>H27*I27</f>
        <v>0</v>
      </c>
    </row>
    <row r="28" spans="1:11" ht="12.75">
      <c r="A28" s="44" t="s">
        <v>24</v>
      </c>
      <c r="B28" s="155"/>
      <c r="C28" s="35">
        <v>12</v>
      </c>
      <c r="D28" s="35">
        <v>1</v>
      </c>
      <c r="E28" s="35">
        <v>12</v>
      </c>
      <c r="F28" s="35">
        <f>D28/C28*E28</f>
        <v>1</v>
      </c>
      <c r="G28" s="100">
        <v>100</v>
      </c>
      <c r="H28" s="204">
        <f>F28*G28</f>
        <v>100</v>
      </c>
      <c r="I28" s="292">
        <f>I24</f>
        <v>0</v>
      </c>
      <c r="J28" s="425">
        <f>F28*I28</f>
        <v>0</v>
      </c>
      <c r="K28" s="204">
        <f>H28*I28</f>
        <v>0</v>
      </c>
    </row>
    <row r="29" spans="1:11" ht="13.5" thickBot="1">
      <c r="A29" s="53" t="s">
        <v>15</v>
      </c>
      <c r="B29" s="156"/>
      <c r="C29" s="37">
        <v>24</v>
      </c>
      <c r="D29" s="37">
        <v>1</v>
      </c>
      <c r="E29" s="37">
        <v>12</v>
      </c>
      <c r="F29" s="35">
        <f>D29/C29*E29</f>
        <v>0.5</v>
      </c>
      <c r="G29" s="101">
        <v>900</v>
      </c>
      <c r="H29" s="204">
        <f>F29*G29</f>
        <v>450</v>
      </c>
      <c r="I29" s="292">
        <f>I24</f>
        <v>0</v>
      </c>
      <c r="J29" s="425">
        <f>F29*I29</f>
        <v>0</v>
      </c>
      <c r="K29" s="204">
        <f>H29*I29</f>
        <v>0</v>
      </c>
    </row>
    <row r="30" spans="1:132" s="5" customFormat="1" ht="18" customHeight="1" thickBot="1">
      <c r="A30" s="49" t="s">
        <v>3</v>
      </c>
      <c r="B30" s="161"/>
      <c r="C30" s="50"/>
      <c r="D30" s="50"/>
      <c r="E30" s="50"/>
      <c r="F30" s="50"/>
      <c r="G30" s="193"/>
      <c r="H30" s="205">
        <f>SUM(H26:H29)</f>
        <v>1098</v>
      </c>
      <c r="I30" s="287"/>
      <c r="J30" s="193"/>
      <c r="K30" s="205">
        <f>SUM(K26:K29)</f>
        <v>0</v>
      </c>
      <c r="L30" s="115"/>
      <c r="M30" s="115"/>
      <c r="N30" s="11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</row>
    <row r="31" spans="1:11" ht="12.75">
      <c r="A31" s="51"/>
      <c r="B31" s="157"/>
      <c r="C31" s="52"/>
      <c r="D31" s="52"/>
      <c r="E31" s="52"/>
      <c r="F31" s="52"/>
      <c r="G31" s="125"/>
      <c r="H31" s="207"/>
      <c r="I31" s="289"/>
      <c r="J31" s="125"/>
      <c r="K31" s="207"/>
    </row>
    <row r="32" spans="1:11" ht="15">
      <c r="A32" s="45" t="s">
        <v>25</v>
      </c>
      <c r="B32" s="163"/>
      <c r="C32" s="35"/>
      <c r="D32" s="35"/>
      <c r="E32" s="35"/>
      <c r="F32" s="35"/>
      <c r="G32" s="100"/>
      <c r="H32" s="107"/>
      <c r="I32" s="279"/>
      <c r="J32" s="100"/>
      <c r="K32" s="107"/>
    </row>
    <row r="33" spans="1:11" ht="12.75">
      <c r="A33" s="44"/>
      <c r="B33" s="155"/>
      <c r="C33" s="35"/>
      <c r="D33" s="35"/>
      <c r="E33" s="35"/>
      <c r="F33" s="35"/>
      <c r="G33" s="100"/>
      <c r="H33" s="107"/>
      <c r="I33" s="279"/>
      <c r="J33" s="100"/>
      <c r="K33" s="107"/>
    </row>
    <row r="34" spans="1:11" ht="17.25" customHeight="1">
      <c r="A34" s="170" t="s">
        <v>1</v>
      </c>
      <c r="B34" s="155"/>
      <c r="C34" s="11"/>
      <c r="D34" s="11"/>
      <c r="E34" s="11"/>
      <c r="F34" s="35"/>
      <c r="G34" s="100"/>
      <c r="H34" s="107"/>
      <c r="I34" s="398">
        <f>'сан содерж'!F11</f>
        <v>1.47056</v>
      </c>
      <c r="J34" s="423"/>
      <c r="K34" s="107"/>
    </row>
    <row r="35" spans="1:11" ht="12.75">
      <c r="A35" s="44"/>
      <c r="B35" s="155"/>
      <c r="C35" s="35"/>
      <c r="D35" s="35"/>
      <c r="E35" s="35"/>
      <c r="F35" s="35"/>
      <c r="G35" s="100"/>
      <c r="H35" s="107"/>
      <c r="I35" s="292"/>
      <c r="J35" s="100"/>
      <c r="K35" s="107"/>
    </row>
    <row r="36" spans="1:11" ht="12.75">
      <c r="A36" s="44" t="s">
        <v>423</v>
      </c>
      <c r="B36" s="155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0">
        <v>75</v>
      </c>
      <c r="H36" s="204">
        <f aca="true" t="shared" si="1" ref="H36:H42">F36*G36</f>
        <v>900</v>
      </c>
      <c r="I36" s="292">
        <f>I34</f>
        <v>1.47056</v>
      </c>
      <c r="J36" s="425">
        <f aca="true" t="shared" si="2" ref="J36:J41">F36*I36</f>
        <v>17.646720000000002</v>
      </c>
      <c r="K36" s="204">
        <f aca="true" t="shared" si="3" ref="K36:K42">H36*I36</f>
        <v>1323.5040000000001</v>
      </c>
    </row>
    <row r="37" spans="1:11" ht="12.75">
      <c r="A37" s="44" t="s">
        <v>26</v>
      </c>
      <c r="B37" s="155"/>
      <c r="C37" s="35">
        <v>12</v>
      </c>
      <c r="D37" s="35">
        <v>1</v>
      </c>
      <c r="E37" s="35">
        <v>12</v>
      </c>
      <c r="F37" s="35">
        <f t="shared" si="0"/>
        <v>1</v>
      </c>
      <c r="G37" s="100">
        <v>100</v>
      </c>
      <c r="H37" s="204">
        <f t="shared" si="1"/>
        <v>100</v>
      </c>
      <c r="I37" s="292">
        <f>I34</f>
        <v>1.47056</v>
      </c>
      <c r="J37" s="425">
        <f t="shared" si="2"/>
        <v>1.47056</v>
      </c>
      <c r="K37" s="204">
        <f t="shared" si="3"/>
        <v>147.056</v>
      </c>
    </row>
    <row r="38" spans="1:11" ht="12.75" customHeight="1">
      <c r="A38" s="44" t="s">
        <v>30</v>
      </c>
      <c r="B38" s="155"/>
      <c r="C38" s="35">
        <v>12</v>
      </c>
      <c r="D38" s="35">
        <v>1</v>
      </c>
      <c r="E38" s="35">
        <v>12</v>
      </c>
      <c r="F38" s="35">
        <f t="shared" si="0"/>
        <v>1</v>
      </c>
      <c r="G38" s="100">
        <v>95</v>
      </c>
      <c r="H38" s="204">
        <f t="shared" si="1"/>
        <v>95</v>
      </c>
      <c r="I38" s="292">
        <f>I34</f>
        <v>1.47056</v>
      </c>
      <c r="J38" s="425">
        <f t="shared" si="2"/>
        <v>1.47056</v>
      </c>
      <c r="K38" s="204">
        <f t="shared" si="3"/>
        <v>139.7032</v>
      </c>
    </row>
    <row r="39" spans="1:11" ht="12.75" customHeight="1">
      <c r="A39" s="44" t="s">
        <v>27</v>
      </c>
      <c r="B39" s="155"/>
      <c r="C39" s="35">
        <v>12</v>
      </c>
      <c r="D39" s="35">
        <v>1</v>
      </c>
      <c r="E39" s="35">
        <v>12</v>
      </c>
      <c r="F39" s="35">
        <f t="shared" si="0"/>
        <v>1</v>
      </c>
      <c r="G39" s="100">
        <v>95</v>
      </c>
      <c r="H39" s="204">
        <f t="shared" si="1"/>
        <v>95</v>
      </c>
      <c r="I39" s="292">
        <f>I34</f>
        <v>1.47056</v>
      </c>
      <c r="J39" s="425">
        <f t="shared" si="2"/>
        <v>1.47056</v>
      </c>
      <c r="K39" s="204">
        <f t="shared" si="3"/>
        <v>139.7032</v>
      </c>
    </row>
    <row r="40" spans="1:11" ht="12.75" customHeight="1">
      <c r="A40" s="44" t="s">
        <v>28</v>
      </c>
      <c r="B40" s="155"/>
      <c r="C40" s="35">
        <v>24</v>
      </c>
      <c r="D40" s="35">
        <v>1</v>
      </c>
      <c r="E40" s="35">
        <v>12</v>
      </c>
      <c r="F40" s="35">
        <f t="shared" si="0"/>
        <v>0.5</v>
      </c>
      <c r="G40" s="100">
        <v>64</v>
      </c>
      <c r="H40" s="204">
        <f>F40*G40</f>
        <v>32</v>
      </c>
      <c r="I40" s="292">
        <f>I34</f>
        <v>1.47056</v>
      </c>
      <c r="J40" s="425">
        <f t="shared" si="2"/>
        <v>0.73528</v>
      </c>
      <c r="K40" s="204">
        <f t="shared" si="3"/>
        <v>47.05792</v>
      </c>
    </row>
    <row r="41" spans="1:11" ht="12.75" customHeight="1">
      <c r="A41" s="44" t="s">
        <v>29</v>
      </c>
      <c r="B41" s="155"/>
      <c r="C41" s="37">
        <v>12</v>
      </c>
      <c r="D41" s="37">
        <v>1</v>
      </c>
      <c r="E41" s="37">
        <v>12</v>
      </c>
      <c r="F41" s="37">
        <f t="shared" si="0"/>
        <v>1</v>
      </c>
      <c r="G41" s="100">
        <v>163</v>
      </c>
      <c r="H41" s="204">
        <f t="shared" si="1"/>
        <v>163</v>
      </c>
      <c r="I41" s="292">
        <f>I34</f>
        <v>1.47056</v>
      </c>
      <c r="J41" s="425">
        <f t="shared" si="2"/>
        <v>1.47056</v>
      </c>
      <c r="K41" s="204">
        <f t="shared" si="3"/>
        <v>239.70128000000003</v>
      </c>
    </row>
    <row r="42" spans="1:132" s="1" customFormat="1" ht="13.5" thickBot="1">
      <c r="A42" s="47" t="s">
        <v>142</v>
      </c>
      <c r="B42" s="320"/>
      <c r="C42" s="392">
        <v>12</v>
      </c>
      <c r="D42" s="392">
        <v>1</v>
      </c>
      <c r="E42" s="392">
        <v>12</v>
      </c>
      <c r="F42" s="397">
        <f>D42/C42*E42</f>
        <v>1</v>
      </c>
      <c r="G42" s="124">
        <v>45</v>
      </c>
      <c r="H42" s="204">
        <f t="shared" si="1"/>
        <v>45</v>
      </c>
      <c r="I42" s="286">
        <f>I34</f>
        <v>1.47056</v>
      </c>
      <c r="J42" s="425">
        <f>F42*I42</f>
        <v>1.47056</v>
      </c>
      <c r="K42" s="204">
        <f t="shared" si="3"/>
        <v>66.1752</v>
      </c>
      <c r="L42" s="133"/>
      <c r="M42" s="133"/>
      <c r="N42" s="134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</row>
    <row r="43" spans="1:132" s="5" customFormat="1" ht="19.5" customHeight="1" thickBot="1">
      <c r="A43" s="55" t="s">
        <v>3</v>
      </c>
      <c r="B43" s="164"/>
      <c r="C43" s="38"/>
      <c r="D43" s="38"/>
      <c r="E43" s="38"/>
      <c r="F43" s="396"/>
      <c r="G43" s="196"/>
      <c r="H43" s="208">
        <f>SUM(H36:H42)</f>
        <v>1430</v>
      </c>
      <c r="I43" s="290"/>
      <c r="J43" s="196"/>
      <c r="K43" s="208">
        <f>SUM(K36:K42)</f>
        <v>2102.9008</v>
      </c>
      <c r="L43" s="115"/>
      <c r="M43" s="115"/>
      <c r="N43" s="11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</row>
    <row r="44" spans="1:11" ht="33" customHeight="1">
      <c r="A44" s="524" t="s">
        <v>143</v>
      </c>
      <c r="B44" s="535" t="s">
        <v>441</v>
      </c>
      <c r="C44" s="775">
        <v>100</v>
      </c>
      <c r="D44" s="775">
        <v>0.2</v>
      </c>
      <c r="E44" s="775">
        <v>24</v>
      </c>
      <c r="F44" s="776">
        <f>D44/C44*E44</f>
        <v>0.048</v>
      </c>
      <c r="G44" s="125">
        <v>60</v>
      </c>
      <c r="H44" s="207">
        <f>F44*G44</f>
        <v>2.88</v>
      </c>
      <c r="I44" s="289">
        <f>'Исход дан'!D14</f>
        <v>498.29999999999995</v>
      </c>
      <c r="J44" s="736">
        <f>I44*F44</f>
        <v>23.9184</v>
      </c>
      <c r="K44" s="207">
        <f>H44*I44</f>
        <v>1435.1039999999998</v>
      </c>
    </row>
    <row r="45" spans="1:11" ht="18.75" customHeight="1">
      <c r="A45" s="321" t="s">
        <v>468</v>
      </c>
      <c r="B45" s="322"/>
      <c r="C45" s="56"/>
      <c r="D45" s="56"/>
      <c r="E45" s="56"/>
      <c r="F45" s="52"/>
      <c r="G45" s="125"/>
      <c r="H45" s="206"/>
      <c r="I45" s="323">
        <f>'сан содерж'!F33</f>
        <v>0.9582720000000001</v>
      </c>
      <c r="J45" s="427"/>
      <c r="K45" s="206"/>
    </row>
    <row r="46" spans="1:11" ht="12.75">
      <c r="A46" s="44"/>
      <c r="B46" s="155"/>
      <c r="C46" s="35"/>
      <c r="D46" s="35"/>
      <c r="E46" s="35"/>
      <c r="F46" s="35"/>
      <c r="G46" s="100"/>
      <c r="H46" s="107"/>
      <c r="I46" s="398"/>
      <c r="J46" s="423"/>
      <c r="K46" s="107"/>
    </row>
    <row r="47" spans="1:11" ht="12.75">
      <c r="A47" s="44" t="s">
        <v>32</v>
      </c>
      <c r="B47" s="155"/>
      <c r="C47" s="35">
        <v>12</v>
      </c>
      <c r="D47" s="35">
        <v>40</v>
      </c>
      <c r="E47" s="35">
        <v>5.5</v>
      </c>
      <c r="F47" s="40">
        <f aca="true" t="shared" si="4" ref="F47:F55">D47/C47*E47</f>
        <v>18.333333333333336</v>
      </c>
      <c r="G47" s="809">
        <v>155.075</v>
      </c>
      <c r="H47" s="207">
        <f aca="true" t="shared" si="5" ref="H47:H55">F47*G47</f>
        <v>2843.041666666667</v>
      </c>
      <c r="I47" s="292">
        <f>I45</f>
        <v>0.9582720000000001</v>
      </c>
      <c r="J47" s="425">
        <f aca="true" t="shared" si="6" ref="J47:J55">F47*I47</f>
        <v>17.568320000000003</v>
      </c>
      <c r="K47" s="204">
        <f aca="true" t="shared" si="7" ref="K47:K55">H47*I47</f>
        <v>2724.4072240000005</v>
      </c>
    </row>
    <row r="48" spans="1:11" ht="12.75">
      <c r="A48" s="44" t="s">
        <v>154</v>
      </c>
      <c r="B48" s="155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0">
        <v>400</v>
      </c>
      <c r="H48" s="207">
        <f t="shared" si="5"/>
        <v>36.666666666666664</v>
      </c>
      <c r="I48" s="292">
        <f>I45</f>
        <v>0.9582720000000001</v>
      </c>
      <c r="J48" s="425">
        <f t="shared" si="6"/>
        <v>0.0878416</v>
      </c>
      <c r="K48" s="204">
        <f t="shared" si="7"/>
        <v>35.13664</v>
      </c>
    </row>
    <row r="49" spans="1:11" ht="12.75">
      <c r="A49" s="44" t="s">
        <v>33</v>
      </c>
      <c r="B49" s="155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0">
        <v>190</v>
      </c>
      <c r="H49" s="207">
        <f t="shared" si="5"/>
        <v>17.416666666666664</v>
      </c>
      <c r="I49" s="292">
        <f>I45</f>
        <v>0.9582720000000001</v>
      </c>
      <c r="J49" s="425">
        <f t="shared" si="6"/>
        <v>0.0878416</v>
      </c>
      <c r="K49" s="204">
        <f t="shared" si="7"/>
        <v>16.689904</v>
      </c>
    </row>
    <row r="50" spans="1:11" ht="12.75">
      <c r="A50" s="44" t="s">
        <v>34</v>
      </c>
      <c r="B50" s="155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0">
        <v>135</v>
      </c>
      <c r="H50" s="207">
        <f t="shared" si="5"/>
        <v>30.9375</v>
      </c>
      <c r="I50" s="292">
        <f>I45</f>
        <v>0.9582720000000001</v>
      </c>
      <c r="J50" s="425">
        <f t="shared" si="6"/>
        <v>0.21960400000000002</v>
      </c>
      <c r="K50" s="204">
        <f t="shared" si="7"/>
        <v>29.646540000000005</v>
      </c>
    </row>
    <row r="51" spans="1:11" ht="12.75">
      <c r="A51" s="44" t="s">
        <v>35</v>
      </c>
      <c r="B51" s="155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0">
        <v>200</v>
      </c>
      <c r="H51" s="207">
        <f t="shared" si="5"/>
        <v>45.83333333333333</v>
      </c>
      <c r="I51" s="292">
        <f>I45</f>
        <v>0.9582720000000001</v>
      </c>
      <c r="J51" s="425">
        <f t="shared" si="6"/>
        <v>0.21960400000000002</v>
      </c>
      <c r="K51" s="204">
        <f t="shared" si="7"/>
        <v>43.9208</v>
      </c>
    </row>
    <row r="52" spans="1:11" ht="12.75">
      <c r="A52" s="44" t="s">
        <v>467</v>
      </c>
      <c r="B52" s="155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0"/>
      <c r="H52" s="207">
        <f t="shared" si="5"/>
        <v>0</v>
      </c>
      <c r="I52" s="292">
        <f>I45</f>
        <v>0.9582720000000001</v>
      </c>
      <c r="J52" s="425">
        <f t="shared" si="6"/>
        <v>0.43920800000000004</v>
      </c>
      <c r="K52" s="204">
        <f t="shared" si="7"/>
        <v>0</v>
      </c>
    </row>
    <row r="53" spans="1:11" ht="12.75">
      <c r="A53" s="44" t="s">
        <v>37</v>
      </c>
      <c r="B53" s="155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0">
        <v>1000</v>
      </c>
      <c r="H53" s="207">
        <f t="shared" si="5"/>
        <v>229.16666666666666</v>
      </c>
      <c r="I53" s="292">
        <f>I45</f>
        <v>0.9582720000000001</v>
      </c>
      <c r="J53" s="425">
        <f t="shared" si="6"/>
        <v>0.21960400000000002</v>
      </c>
      <c r="K53" s="204">
        <f t="shared" si="7"/>
        <v>219.604</v>
      </c>
    </row>
    <row r="54" spans="1:11" ht="12.75">
      <c r="A54" s="44" t="s">
        <v>36</v>
      </c>
      <c r="B54" s="155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0">
        <v>150</v>
      </c>
      <c r="H54" s="207">
        <f t="shared" si="5"/>
        <v>68.75</v>
      </c>
      <c r="I54" s="292">
        <f>I45</f>
        <v>0.9582720000000001</v>
      </c>
      <c r="J54" s="425">
        <f t="shared" si="6"/>
        <v>0.43920800000000004</v>
      </c>
      <c r="K54" s="204">
        <f t="shared" si="7"/>
        <v>65.8812</v>
      </c>
    </row>
    <row r="55" spans="1:11" ht="13.5" thickBot="1">
      <c r="A55" s="44" t="s">
        <v>38</v>
      </c>
      <c r="B55" s="155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0">
        <v>50</v>
      </c>
      <c r="H55" s="207">
        <f t="shared" si="5"/>
        <v>11.458333333333332</v>
      </c>
      <c r="I55" s="292">
        <f>I45</f>
        <v>0.9582720000000001</v>
      </c>
      <c r="J55" s="425">
        <f t="shared" si="6"/>
        <v>0.21960400000000002</v>
      </c>
      <c r="K55" s="204">
        <f t="shared" si="7"/>
        <v>10.9802</v>
      </c>
    </row>
    <row r="56" spans="1:132" s="39" customFormat="1" ht="15.75" customHeight="1" thickBot="1">
      <c r="A56" s="399" t="s">
        <v>196</v>
      </c>
      <c r="B56" s="400"/>
      <c r="C56" s="401"/>
      <c r="D56" s="401"/>
      <c r="E56" s="401"/>
      <c r="F56" s="401"/>
      <c r="G56" s="402"/>
      <c r="H56" s="403">
        <f>SUM(H47:H55)</f>
        <v>3283.2708333333335</v>
      </c>
      <c r="I56" s="404"/>
      <c r="J56" s="402"/>
      <c r="K56" s="403">
        <f>SUM(K47:K55)</f>
        <v>3146.266508</v>
      </c>
      <c r="L56" s="137"/>
      <c r="M56" s="137"/>
      <c r="N56" s="137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</row>
    <row r="57" spans="1:11" ht="12.75">
      <c r="A57" s="51"/>
      <c r="B57" s="157"/>
      <c r="C57" s="52"/>
      <c r="D57" s="52"/>
      <c r="E57" s="52"/>
      <c r="F57" s="52"/>
      <c r="G57" s="125"/>
      <c r="H57" s="206"/>
      <c r="I57" s="289"/>
      <c r="J57" s="125"/>
      <c r="K57" s="206"/>
    </row>
    <row r="58" spans="1:11" ht="18" customHeight="1">
      <c r="A58" s="60" t="s">
        <v>469</v>
      </c>
      <c r="B58" s="169"/>
      <c r="C58" s="35"/>
      <c r="D58" s="35"/>
      <c r="E58" s="35"/>
      <c r="F58" s="35"/>
      <c r="G58" s="100"/>
      <c r="H58" s="107"/>
      <c r="I58" s="291">
        <f>'сан содерж'!F33</f>
        <v>0.9582720000000001</v>
      </c>
      <c r="J58" s="428"/>
      <c r="K58" s="107"/>
    </row>
    <row r="59" spans="1:11" ht="12.75">
      <c r="A59" s="43"/>
      <c r="B59" s="155"/>
      <c r="C59" s="35"/>
      <c r="D59" s="35"/>
      <c r="E59" s="35"/>
      <c r="F59" s="35"/>
      <c r="G59" s="100"/>
      <c r="H59" s="107"/>
      <c r="I59" s="398"/>
      <c r="J59" s="423"/>
      <c r="K59" s="107"/>
    </row>
    <row r="60" spans="1:132" s="31" customFormat="1" ht="12.75">
      <c r="A60" s="46" t="s">
        <v>27</v>
      </c>
      <c r="B60" s="155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99">
        <v>80</v>
      </c>
      <c r="H60" s="207">
        <f aca="true" t="shared" si="9" ref="H60:H67">F60*G60</f>
        <v>14.444444444444445</v>
      </c>
      <c r="I60" s="292">
        <f>I58</f>
        <v>0.9582720000000001</v>
      </c>
      <c r="J60" s="425">
        <f aca="true" t="shared" si="10" ref="J60:J68">F60*I60</f>
        <v>0.17302133333333336</v>
      </c>
      <c r="K60" s="204">
        <f aca="true" t="shared" si="11" ref="K60:K68">H60*I60</f>
        <v>13.841706666666669</v>
      </c>
      <c r="L60" s="140"/>
      <c r="M60" s="140"/>
      <c r="N60" s="140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</row>
    <row r="61" spans="1:132" s="31" customFormat="1" ht="12.75">
      <c r="A61" s="46" t="s">
        <v>39</v>
      </c>
      <c r="B61" s="155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99">
        <v>110</v>
      </c>
      <c r="H61" s="207">
        <f t="shared" si="9"/>
        <v>19.86111111111111</v>
      </c>
      <c r="I61" s="292">
        <f>I58</f>
        <v>0.9582720000000001</v>
      </c>
      <c r="J61" s="425">
        <f t="shared" si="10"/>
        <v>0.17302133333333336</v>
      </c>
      <c r="K61" s="204">
        <f t="shared" si="11"/>
        <v>19.03234666666667</v>
      </c>
      <c r="L61" s="140"/>
      <c r="M61" s="140"/>
      <c r="N61" s="140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</row>
    <row r="62" spans="1:11" ht="12.75">
      <c r="A62" s="44" t="s">
        <v>35</v>
      </c>
      <c r="B62" s="155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0">
        <v>80</v>
      </c>
      <c r="H62" s="207">
        <f t="shared" si="9"/>
        <v>43.33333333333333</v>
      </c>
      <c r="I62" s="292">
        <f>I58</f>
        <v>0.9582720000000001</v>
      </c>
      <c r="J62" s="425">
        <f t="shared" si="10"/>
        <v>0.5190640000000001</v>
      </c>
      <c r="K62" s="204">
        <f t="shared" si="11"/>
        <v>41.52512</v>
      </c>
    </row>
    <row r="63" spans="1:11" ht="12.75">
      <c r="A63" s="44" t="s">
        <v>31</v>
      </c>
      <c r="B63" s="155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809">
        <v>130.06135</v>
      </c>
      <c r="H63" s="207">
        <f t="shared" si="9"/>
        <v>3733.844589583334</v>
      </c>
      <c r="I63" s="292">
        <f>I58</f>
        <v>0.9582720000000001</v>
      </c>
      <c r="J63" s="425">
        <f t="shared" si="10"/>
        <v>27.510392000000007</v>
      </c>
      <c r="K63" s="204">
        <f t="shared" si="11"/>
        <v>3578.038722549201</v>
      </c>
    </row>
    <row r="64" spans="1:11" ht="12.75">
      <c r="A64" s="44" t="s">
        <v>40</v>
      </c>
      <c r="B64" s="155" t="s">
        <v>144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0">
        <v>2</v>
      </c>
      <c r="H64" s="207">
        <f t="shared" si="9"/>
        <v>286</v>
      </c>
      <c r="I64" s="292">
        <f>I58</f>
        <v>0.9582720000000001</v>
      </c>
      <c r="J64" s="425">
        <f t="shared" si="10"/>
        <v>137.03289600000002</v>
      </c>
      <c r="K64" s="204">
        <f t="shared" si="11"/>
        <v>274.06579200000004</v>
      </c>
    </row>
    <row r="65" spans="1:11" ht="12.75">
      <c r="A65" s="44" t="s">
        <v>37</v>
      </c>
      <c r="B65" s="155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0">
        <v>0</v>
      </c>
      <c r="H65" s="207">
        <f t="shared" si="9"/>
        <v>0</v>
      </c>
      <c r="I65" s="292">
        <f>I58</f>
        <v>0.9582720000000001</v>
      </c>
      <c r="J65" s="425">
        <f t="shared" si="10"/>
        <v>0.25953200000000004</v>
      </c>
      <c r="K65" s="204">
        <f t="shared" si="11"/>
        <v>0</v>
      </c>
    </row>
    <row r="66" spans="1:11" ht="12.75">
      <c r="A66" s="44" t="s">
        <v>26</v>
      </c>
      <c r="B66" s="155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0">
        <v>94</v>
      </c>
      <c r="H66" s="207">
        <f t="shared" si="9"/>
        <v>203.66666666666666</v>
      </c>
      <c r="I66" s="292">
        <f>I58</f>
        <v>0.9582720000000001</v>
      </c>
      <c r="J66" s="425">
        <f t="shared" si="10"/>
        <v>2.0762560000000003</v>
      </c>
      <c r="K66" s="204">
        <f t="shared" si="11"/>
        <v>195.16806400000002</v>
      </c>
    </row>
    <row r="67" spans="1:132" s="31" customFormat="1" ht="12.75">
      <c r="A67" s="46" t="s">
        <v>29</v>
      </c>
      <c r="B67" s="155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99">
        <v>100</v>
      </c>
      <c r="H67" s="207">
        <f t="shared" si="9"/>
        <v>54.166666666666664</v>
      </c>
      <c r="I67" s="292">
        <f>I58</f>
        <v>0.9582720000000001</v>
      </c>
      <c r="J67" s="425">
        <f t="shared" si="10"/>
        <v>0.5190640000000001</v>
      </c>
      <c r="K67" s="204">
        <f t="shared" si="11"/>
        <v>51.906400000000005</v>
      </c>
      <c r="L67" s="140"/>
      <c r="M67" s="140"/>
      <c r="N67" s="140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</row>
    <row r="68" spans="1:132" s="31" customFormat="1" ht="13.5" thickBot="1">
      <c r="A68" s="240" t="s">
        <v>41</v>
      </c>
      <c r="B68" s="156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7">
        <v>50</v>
      </c>
      <c r="H68" s="207">
        <f>F68*G68</f>
        <v>9.027777777777777</v>
      </c>
      <c r="I68" s="286">
        <f>I58</f>
        <v>0.9582720000000001</v>
      </c>
      <c r="J68" s="425">
        <f t="shared" si="10"/>
        <v>0.17302133333333336</v>
      </c>
      <c r="K68" s="204">
        <f t="shared" si="11"/>
        <v>8.651066666666667</v>
      </c>
      <c r="L68" s="140"/>
      <c r="M68" s="140"/>
      <c r="N68" s="140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</row>
    <row r="69" spans="1:132" s="5" customFormat="1" ht="15.75" customHeight="1" thickBot="1">
      <c r="A69" s="410" t="s">
        <v>195</v>
      </c>
      <c r="B69" s="405"/>
      <c r="C69" s="379"/>
      <c r="D69" s="379"/>
      <c r="E69" s="379"/>
      <c r="F69" s="406"/>
      <c r="G69" s="407"/>
      <c r="H69" s="408">
        <f>SUM(H60:H68)</f>
        <v>4364.344589583334</v>
      </c>
      <c r="I69" s="409"/>
      <c r="J69" s="430"/>
      <c r="K69" s="408">
        <f>SUM(K60:K68)</f>
        <v>4182.229218549201</v>
      </c>
      <c r="L69" s="115"/>
      <c r="M69" s="115"/>
      <c r="N69" s="115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</row>
    <row r="70" spans="1:132" s="39" customFormat="1" ht="15.75" customHeight="1">
      <c r="A70" s="413" t="s">
        <v>45</v>
      </c>
      <c r="B70" s="414"/>
      <c r="C70" s="412"/>
      <c r="D70" s="412"/>
      <c r="E70" s="412"/>
      <c r="F70" s="415"/>
      <c r="G70" s="416"/>
      <c r="H70" s="417">
        <f>H56+H69</f>
        <v>7647.615422916668</v>
      </c>
      <c r="I70" s="418"/>
      <c r="J70" s="431"/>
      <c r="K70" s="417">
        <f>K56+K69</f>
        <v>7328.495726549201</v>
      </c>
      <c r="L70" s="137"/>
      <c r="M70" s="137"/>
      <c r="N70" s="137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</row>
    <row r="71" spans="1:132" s="4" customFormat="1" ht="33" customHeight="1">
      <c r="A71" s="9" t="s">
        <v>470</v>
      </c>
      <c r="B71" s="556" t="s">
        <v>521</v>
      </c>
      <c r="C71" s="230">
        <v>1000</v>
      </c>
      <c r="D71" s="230">
        <v>2</v>
      </c>
      <c r="E71" s="230">
        <v>30</v>
      </c>
      <c r="F71" s="40">
        <v>0.07</v>
      </c>
      <c r="G71" s="195">
        <v>600</v>
      </c>
      <c r="H71" s="450">
        <f>F71*G71</f>
        <v>42.00000000000001</v>
      </c>
      <c r="I71" s="451">
        <f>('сан содерж'!D22+'сан содерж'!D23+'сан содерж'!D25)/50</f>
        <v>42.78</v>
      </c>
      <c r="J71" s="452">
        <f>F71*I71</f>
        <v>2.9946</v>
      </c>
      <c r="K71" s="204">
        <f>H71*I71</f>
        <v>1796.7600000000004</v>
      </c>
      <c r="L71" s="135"/>
      <c r="M71" s="135"/>
      <c r="N71" s="135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</row>
    <row r="72" spans="1:132" s="31" customFormat="1" ht="13.5" hidden="1" thickBot="1">
      <c r="A72" s="78"/>
      <c r="B72" s="159"/>
      <c r="C72" s="79"/>
      <c r="D72" s="79"/>
      <c r="E72" s="79"/>
      <c r="F72" s="79"/>
      <c r="G72" s="126"/>
      <c r="H72" s="209"/>
      <c r="I72" s="293"/>
      <c r="J72" s="126"/>
      <c r="K72" s="209"/>
      <c r="L72" s="140"/>
      <c r="M72" s="140"/>
      <c r="N72" s="140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</row>
    <row r="73" spans="1:11" ht="26.25" hidden="1">
      <c r="A73" s="64" t="s">
        <v>23</v>
      </c>
      <c r="B73" s="165"/>
      <c r="C73" s="14"/>
      <c r="D73" s="14"/>
      <c r="E73" s="14"/>
      <c r="F73" s="52"/>
      <c r="G73" s="125"/>
      <c r="H73" s="206"/>
      <c r="I73" s="734">
        <f>'сан содерж'!F46</f>
        <v>0</v>
      </c>
      <c r="J73" s="432"/>
      <c r="K73" s="206"/>
    </row>
    <row r="74" spans="1:11" ht="12.75" hidden="1">
      <c r="A74" s="44"/>
      <c r="B74" s="155"/>
      <c r="C74" s="35"/>
      <c r="D74" s="35"/>
      <c r="E74" s="35"/>
      <c r="F74" s="35"/>
      <c r="G74" s="100"/>
      <c r="H74" s="107"/>
      <c r="I74" s="292"/>
      <c r="J74" s="100"/>
      <c r="K74" s="107"/>
    </row>
    <row r="75" spans="1:11" ht="12.75" hidden="1">
      <c r="A75" s="44" t="s">
        <v>27</v>
      </c>
      <c r="B75" s="155"/>
      <c r="C75" s="35">
        <v>12</v>
      </c>
      <c r="D75" s="35">
        <v>1</v>
      </c>
      <c r="E75" s="35">
        <v>12</v>
      </c>
      <c r="F75" s="35">
        <f>D75/C75*E75</f>
        <v>1</v>
      </c>
      <c r="G75" s="100">
        <v>120</v>
      </c>
      <c r="H75" s="207">
        <f>F75*G75</f>
        <v>120</v>
      </c>
      <c r="I75" s="292">
        <f>I73</f>
        <v>0</v>
      </c>
      <c r="J75" s="425">
        <f>F75*I75</f>
        <v>0</v>
      </c>
      <c r="K75" s="204">
        <f>H75*I75</f>
        <v>0</v>
      </c>
    </row>
    <row r="76" spans="1:11" ht="12.75" hidden="1">
      <c r="A76" s="44" t="s">
        <v>42</v>
      </c>
      <c r="B76" s="155"/>
      <c r="C76" s="35">
        <v>12</v>
      </c>
      <c r="D76" s="35">
        <v>6</v>
      </c>
      <c r="E76" s="35">
        <v>12</v>
      </c>
      <c r="F76" s="35">
        <f>D76/C76*E76</f>
        <v>6</v>
      </c>
      <c r="G76" s="100">
        <v>200</v>
      </c>
      <c r="H76" s="207">
        <f>F76*G76</f>
        <v>1200</v>
      </c>
      <c r="I76" s="292">
        <f>I73</f>
        <v>0</v>
      </c>
      <c r="J76" s="425">
        <f>F76*I76</f>
        <v>0</v>
      </c>
      <c r="K76" s="204">
        <f>H76*I76</f>
        <v>0</v>
      </c>
    </row>
    <row r="77" spans="1:132" s="31" customFormat="1" ht="12.75" hidden="1">
      <c r="A77" s="46" t="s">
        <v>41</v>
      </c>
      <c r="B77" s="155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99">
        <v>80</v>
      </c>
      <c r="H77" s="207">
        <f>F77*G77</f>
        <v>26.666666666666664</v>
      </c>
      <c r="I77" s="292">
        <f>I73</f>
        <v>0</v>
      </c>
      <c r="J77" s="425">
        <f>F77*I77</f>
        <v>0</v>
      </c>
      <c r="K77" s="204">
        <f>H77*I77</f>
        <v>0</v>
      </c>
      <c r="L77" s="140"/>
      <c r="M77" s="140"/>
      <c r="N77" s="140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</row>
    <row r="78" spans="1:11" ht="13.5" hidden="1" thickBot="1">
      <c r="A78" s="44" t="s">
        <v>26</v>
      </c>
      <c r="B78" s="155"/>
      <c r="C78" s="35">
        <v>12</v>
      </c>
      <c r="D78" s="35">
        <v>12</v>
      </c>
      <c r="E78" s="35">
        <v>12</v>
      </c>
      <c r="F78" s="35">
        <f>D78/C78*E78</f>
        <v>12</v>
      </c>
      <c r="G78" s="100">
        <v>177</v>
      </c>
      <c r="H78" s="207">
        <f>F78*G78</f>
        <v>2124</v>
      </c>
      <c r="I78" s="292">
        <f>I73</f>
        <v>0</v>
      </c>
      <c r="J78" s="425">
        <f>F78*I78</f>
        <v>0</v>
      </c>
      <c r="K78" s="204">
        <f>H78*I78</f>
        <v>0</v>
      </c>
    </row>
    <row r="79" spans="1:132" s="39" customFormat="1" ht="19.5" customHeight="1" hidden="1" thickBot="1">
      <c r="A79" s="49" t="s">
        <v>3</v>
      </c>
      <c r="B79" s="161"/>
      <c r="C79" s="50"/>
      <c r="D79" s="50"/>
      <c r="E79" s="50"/>
      <c r="F79" s="50"/>
      <c r="G79" s="193"/>
      <c r="H79" s="205">
        <f>SUM(H75:H78)</f>
        <v>3470.666666666667</v>
      </c>
      <c r="I79" s="287"/>
      <c r="J79" s="193"/>
      <c r="K79" s="205">
        <f>SUM(K75:K78)</f>
        <v>0</v>
      </c>
      <c r="L79" s="137"/>
      <c r="M79" s="137"/>
      <c r="N79" s="137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</row>
    <row r="80" spans="1:132" s="63" customFormat="1" ht="16.5" customHeight="1" hidden="1" thickBot="1">
      <c r="A80" s="65"/>
      <c r="B80" s="166"/>
      <c r="C80" s="66"/>
      <c r="D80" s="66"/>
      <c r="E80" s="66"/>
      <c r="F80" s="66"/>
      <c r="G80" s="198"/>
      <c r="H80" s="210"/>
      <c r="I80" s="294"/>
      <c r="J80" s="198"/>
      <c r="K80" s="210"/>
      <c r="L80" s="142"/>
      <c r="M80" s="142"/>
      <c r="N80" s="142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</row>
    <row r="81" spans="1:132" s="68" customFormat="1" ht="41.25" customHeight="1" hidden="1" thickBot="1">
      <c r="A81" s="384" t="s">
        <v>47</v>
      </c>
      <c r="B81" s="171"/>
      <c r="C81" s="67"/>
      <c r="D81" s="67"/>
      <c r="E81" s="67"/>
      <c r="F81" s="67"/>
      <c r="G81" s="199"/>
      <c r="H81" s="211"/>
      <c r="I81" s="295"/>
      <c r="J81" s="199"/>
      <c r="K81" s="211"/>
      <c r="L81" s="144"/>
      <c r="M81" s="144"/>
      <c r="N81" s="144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</row>
    <row r="82" spans="1:132" s="68" customFormat="1" ht="35.25" customHeight="1" hidden="1">
      <c r="A82" s="72" t="s">
        <v>48</v>
      </c>
      <c r="B82" s="167"/>
      <c r="C82" s="69"/>
      <c r="D82" s="69"/>
      <c r="E82" s="69"/>
      <c r="F82" s="69"/>
      <c r="G82" s="200"/>
      <c r="H82" s="561"/>
      <c r="I82" s="296"/>
      <c r="J82" s="200"/>
      <c r="K82" s="212"/>
      <c r="L82" s="144"/>
      <c r="M82" s="144"/>
      <c r="N82" s="144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</row>
    <row r="83" spans="1:132" s="1" customFormat="1" ht="30" customHeight="1" hidden="1">
      <c r="A83" s="42" t="s">
        <v>155</v>
      </c>
      <c r="B83" s="284" t="s">
        <v>435</v>
      </c>
      <c r="C83" s="23">
        <v>1</v>
      </c>
      <c r="D83" s="23">
        <v>0.02</v>
      </c>
      <c r="E83" s="23">
        <v>183</v>
      </c>
      <c r="F83" s="280">
        <f>D83/C83*E83</f>
        <v>3.66</v>
      </c>
      <c r="G83" s="195"/>
      <c r="H83" s="207">
        <f>F83*G83</f>
        <v>0</v>
      </c>
      <c r="I83" s="297">
        <v>10.4</v>
      </c>
      <c r="J83" s="425">
        <f>F83*I83</f>
        <v>38.064</v>
      </c>
      <c r="K83" s="204">
        <f>H83*I83</f>
        <v>0</v>
      </c>
      <c r="L83" s="133"/>
      <c r="M83" s="133"/>
      <c r="N83" s="134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</row>
    <row r="84" spans="1:132" s="1" customFormat="1" ht="28.5" customHeight="1" hidden="1">
      <c r="A84" s="73" t="s">
        <v>53</v>
      </c>
      <c r="B84" s="160"/>
      <c r="C84" s="285"/>
      <c r="D84" s="285"/>
      <c r="E84" s="285"/>
      <c r="F84" s="35"/>
      <c r="G84" s="195"/>
      <c r="H84" s="204"/>
      <c r="I84" s="297"/>
      <c r="J84" s="425"/>
      <c r="K84" s="204"/>
      <c r="L84" s="133"/>
      <c r="M84" s="133"/>
      <c r="N84" s="134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</row>
    <row r="85" spans="1:132" s="1" customFormat="1" ht="26.25" hidden="1">
      <c r="A85" s="42" t="s">
        <v>147</v>
      </c>
      <c r="B85" s="284" t="s">
        <v>317</v>
      </c>
      <c r="C85" s="23">
        <v>100</v>
      </c>
      <c r="D85" s="23">
        <v>1.5</v>
      </c>
      <c r="E85" s="23">
        <v>183</v>
      </c>
      <c r="F85" s="280">
        <f>D85/C85*E85</f>
        <v>2.745</v>
      </c>
      <c r="G85" s="195"/>
      <c r="H85" s="207">
        <f>F85*G85</f>
        <v>0</v>
      </c>
      <c r="I85" s="297">
        <v>2</v>
      </c>
      <c r="J85" s="425">
        <f>F85*I85</f>
        <v>5.49</v>
      </c>
      <c r="K85" s="204">
        <f>H85*I85</f>
        <v>0</v>
      </c>
      <c r="L85" s="133"/>
      <c r="M85" s="133"/>
      <c r="N85" s="134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</row>
    <row r="86" spans="1:132" s="1" customFormat="1" ht="26.25" hidden="1">
      <c r="A86" s="73" t="s">
        <v>54</v>
      </c>
      <c r="B86" s="160"/>
      <c r="C86" s="303"/>
      <c r="D86" s="303"/>
      <c r="E86" s="303"/>
      <c r="F86" s="71"/>
      <c r="G86" s="195"/>
      <c r="H86" s="204"/>
      <c r="I86" s="297"/>
      <c r="J86" s="425"/>
      <c r="K86" s="204"/>
      <c r="L86" s="133"/>
      <c r="M86" s="133"/>
      <c r="N86" s="134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</row>
    <row r="87" spans="1:132" s="1" customFormat="1" ht="39" hidden="1">
      <c r="A87" s="42" t="s">
        <v>55</v>
      </c>
      <c r="B87" s="284" t="s">
        <v>511</v>
      </c>
      <c r="C87" s="23">
        <v>10</v>
      </c>
      <c r="D87" s="23">
        <v>0.2</v>
      </c>
      <c r="E87" s="23">
        <v>52</v>
      </c>
      <c r="F87" s="280">
        <f>D87/C87*E87</f>
        <v>1.04</v>
      </c>
      <c r="G87" s="195"/>
      <c r="H87" s="207">
        <f>F87*G87</f>
        <v>0</v>
      </c>
      <c r="I87" s="297">
        <v>2</v>
      </c>
      <c r="J87" s="425">
        <f>F87*I87</f>
        <v>2.08</v>
      </c>
      <c r="K87" s="204">
        <f>H87*I87</f>
        <v>0</v>
      </c>
      <c r="L87" s="133"/>
      <c r="M87" s="133"/>
      <c r="N87" s="134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</row>
    <row r="88" spans="1:132" s="1" customFormat="1" ht="28.5" customHeight="1" hidden="1">
      <c r="A88" s="73" t="s">
        <v>49</v>
      </c>
      <c r="B88" s="160"/>
      <c r="C88" s="36"/>
      <c r="D88" s="36"/>
      <c r="E88" s="36"/>
      <c r="F88" s="71"/>
      <c r="G88" s="195"/>
      <c r="H88" s="204"/>
      <c r="I88" s="297"/>
      <c r="J88" s="425"/>
      <c r="K88" s="204"/>
      <c r="L88" s="133"/>
      <c r="M88" s="133"/>
      <c r="N88" s="134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</row>
    <row r="89" spans="1:132" s="1" customFormat="1" ht="39" hidden="1">
      <c r="A89" s="42" t="s">
        <v>145</v>
      </c>
      <c r="B89" s="284" t="s">
        <v>318</v>
      </c>
      <c r="C89" s="23">
        <v>100</v>
      </c>
      <c r="D89" s="23">
        <v>1.5</v>
      </c>
      <c r="E89" s="23">
        <v>12</v>
      </c>
      <c r="F89" s="280">
        <f>D89/C89*E89</f>
        <v>0.18</v>
      </c>
      <c r="G89" s="195"/>
      <c r="H89" s="207">
        <f>F89*G89</f>
        <v>0</v>
      </c>
      <c r="I89" s="297">
        <v>2</v>
      </c>
      <c r="J89" s="425">
        <f>F89*I89</f>
        <v>0.36</v>
      </c>
      <c r="K89" s="204">
        <f>H89*I89</f>
        <v>0</v>
      </c>
      <c r="L89" s="133"/>
      <c r="M89" s="133"/>
      <c r="N89" s="134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</row>
    <row r="90" spans="1:11" ht="39" hidden="1">
      <c r="A90" s="42" t="s">
        <v>146</v>
      </c>
      <c r="B90" s="284" t="s">
        <v>319</v>
      </c>
      <c r="C90" s="419">
        <v>100</v>
      </c>
      <c r="D90" s="419">
        <v>5.38</v>
      </c>
      <c r="E90" s="419">
        <v>12</v>
      </c>
      <c r="F90" s="279">
        <f>D90/C90*E90</f>
        <v>0.6456</v>
      </c>
      <c r="G90" s="100"/>
      <c r="H90" s="207">
        <f>F90*G90</f>
        <v>0</v>
      </c>
      <c r="I90" s="297">
        <v>2</v>
      </c>
      <c r="J90" s="425">
        <f>F90*I90</f>
        <v>1.2912</v>
      </c>
      <c r="K90" s="204">
        <f>H90*I90</f>
        <v>0</v>
      </c>
    </row>
    <row r="91" spans="1:132" s="1" customFormat="1" ht="25.5" customHeight="1" hidden="1">
      <c r="A91" s="73" t="s">
        <v>50</v>
      </c>
      <c r="B91" s="160"/>
      <c r="C91" s="303"/>
      <c r="D91" s="303"/>
      <c r="E91" s="303"/>
      <c r="F91" s="71"/>
      <c r="G91" s="195"/>
      <c r="H91" s="204"/>
      <c r="I91" s="297"/>
      <c r="J91" s="425"/>
      <c r="K91" s="204"/>
      <c r="L91" s="133"/>
      <c r="M91" s="133"/>
      <c r="N91" s="134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</row>
    <row r="92" spans="1:132" s="1" customFormat="1" ht="26.25" hidden="1">
      <c r="A92" s="42" t="s">
        <v>51</v>
      </c>
      <c r="B92" s="284" t="s">
        <v>349</v>
      </c>
      <c r="C92" s="23">
        <v>10</v>
      </c>
      <c r="D92" s="23">
        <v>1.5</v>
      </c>
      <c r="E92" s="23">
        <v>12</v>
      </c>
      <c r="F92" s="280">
        <f>D92/C92*E92</f>
        <v>1.7999999999999998</v>
      </c>
      <c r="G92" s="195"/>
      <c r="H92" s="207">
        <f>F92*G92</f>
        <v>0</v>
      </c>
      <c r="I92" s="297">
        <v>2</v>
      </c>
      <c r="J92" s="425">
        <f>F92*I92</f>
        <v>3.5999999999999996</v>
      </c>
      <c r="K92" s="204">
        <f>H92*I92</f>
        <v>0</v>
      </c>
      <c r="L92" s="133"/>
      <c r="M92" s="133"/>
      <c r="N92" s="134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</row>
    <row r="93" spans="1:11" ht="26.25" hidden="1">
      <c r="A93" s="42" t="s">
        <v>52</v>
      </c>
      <c r="B93" s="284" t="s">
        <v>320</v>
      </c>
      <c r="C93" s="419">
        <v>10</v>
      </c>
      <c r="D93" s="419">
        <v>5.38</v>
      </c>
      <c r="E93" s="419">
        <v>12</v>
      </c>
      <c r="F93" s="280">
        <f>D93/C93*E93</f>
        <v>6.456</v>
      </c>
      <c r="G93" s="100"/>
      <c r="H93" s="207">
        <f>F93*G93</f>
        <v>0</v>
      </c>
      <c r="I93" s="297">
        <v>2</v>
      </c>
      <c r="J93" s="425">
        <f>F93*I93</f>
        <v>12.912</v>
      </c>
      <c r="K93" s="204">
        <f>H93*I93</f>
        <v>0</v>
      </c>
    </row>
    <row r="94" spans="1:11" ht="12.75" hidden="1">
      <c r="A94" s="47"/>
      <c r="B94" s="158"/>
      <c r="C94" s="285"/>
      <c r="D94" s="285"/>
      <c r="E94" s="285"/>
      <c r="F94" s="37"/>
      <c r="G94" s="101"/>
      <c r="H94" s="204"/>
      <c r="I94" s="283"/>
      <c r="J94" s="429"/>
      <c r="K94" s="204"/>
    </row>
    <row r="95" spans="1:132" s="4" customFormat="1" ht="26.25">
      <c r="A95" s="75" t="s">
        <v>424</v>
      </c>
      <c r="B95" s="168"/>
      <c r="C95" s="76"/>
      <c r="D95" s="76"/>
      <c r="E95" s="76"/>
      <c r="F95" s="57"/>
      <c r="G95" s="201"/>
      <c r="H95" s="562">
        <f>SUM(H83:H94)</f>
        <v>0</v>
      </c>
      <c r="I95" s="298"/>
      <c r="J95" s="433"/>
      <c r="K95" s="213">
        <f>SUM(K83:K94)</f>
        <v>0</v>
      </c>
      <c r="L95" s="135"/>
      <c r="M95" s="135"/>
      <c r="N95" s="135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</row>
    <row r="96" spans="1:132" s="5" customFormat="1" ht="12.75">
      <c r="A96" s="563" t="s">
        <v>407</v>
      </c>
      <c r="B96" s="158" t="s">
        <v>409</v>
      </c>
      <c r="C96" s="77">
        <v>1</v>
      </c>
      <c r="D96" s="77">
        <v>0.5</v>
      </c>
      <c r="E96" s="77">
        <v>12</v>
      </c>
      <c r="F96" s="77">
        <f>D96*E96</f>
        <v>6</v>
      </c>
      <c r="G96" s="197">
        <v>12</v>
      </c>
      <c r="H96" s="207">
        <f>F96*G96</f>
        <v>72</v>
      </c>
      <c r="I96" s="735">
        <v>0</v>
      </c>
      <c r="J96" s="564">
        <v>1.308</v>
      </c>
      <c r="K96" s="204">
        <v>94.32</v>
      </c>
      <c r="L96" s="115"/>
      <c r="M96" s="115"/>
      <c r="N96" s="115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</row>
    <row r="97" spans="1:132" s="5" customFormat="1" ht="39">
      <c r="A97" s="563" t="s">
        <v>408</v>
      </c>
      <c r="B97" s="158" t="s">
        <v>425</v>
      </c>
      <c r="C97" s="77">
        <v>1</v>
      </c>
      <c r="D97" s="77">
        <f>3*15</f>
        <v>45</v>
      </c>
      <c r="E97" s="77">
        <v>6</v>
      </c>
      <c r="F97" s="280">
        <f>D97*E97</f>
        <v>270</v>
      </c>
      <c r="G97" s="197">
        <v>9</v>
      </c>
      <c r="H97" s="207">
        <f>F97*G97</f>
        <v>2430</v>
      </c>
      <c r="I97" s="735">
        <v>1</v>
      </c>
      <c r="J97" s="564">
        <f>F97*I97</f>
        <v>270</v>
      </c>
      <c r="K97" s="681">
        <f>F97*G97</f>
        <v>2430</v>
      </c>
      <c r="L97" s="115"/>
      <c r="M97" s="115"/>
      <c r="N97" s="115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</row>
    <row r="98" spans="1:132" s="5" customFormat="1" ht="26.25">
      <c r="A98" s="150" t="s">
        <v>410</v>
      </c>
      <c r="B98" s="117" t="s">
        <v>426</v>
      </c>
      <c r="C98" s="32">
        <v>1</v>
      </c>
      <c r="D98" s="32">
        <v>1</v>
      </c>
      <c r="E98" s="32">
        <v>6</v>
      </c>
      <c r="F98" s="280">
        <f>D98*E98</f>
        <v>6</v>
      </c>
      <c r="G98" s="99">
        <v>9</v>
      </c>
      <c r="H98" s="207">
        <f>F98*G98</f>
        <v>54</v>
      </c>
      <c r="I98" s="779">
        <v>1</v>
      </c>
      <c r="J98" s="564">
        <f>F98*I98</f>
        <v>6</v>
      </c>
      <c r="K98" s="681">
        <f>F98*G98</f>
        <v>54</v>
      </c>
      <c r="L98" s="115"/>
      <c r="M98" s="115"/>
      <c r="N98" s="115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</row>
    <row r="99" spans="1:132" s="5" customFormat="1" ht="12.75">
      <c r="A99" s="9"/>
      <c r="B99" s="117"/>
      <c r="C99" s="32"/>
      <c r="D99" s="32"/>
      <c r="E99" s="32"/>
      <c r="F99" s="32"/>
      <c r="G99" s="99"/>
      <c r="H99" s="420"/>
      <c r="I99" s="421"/>
      <c r="J99" s="434"/>
      <c r="K99" s="420"/>
      <c r="L99" s="115"/>
      <c r="M99" s="115"/>
      <c r="N99" s="115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</row>
    <row r="100" spans="1:132" s="5" customFormat="1" ht="12.75">
      <c r="A100" s="9" t="s">
        <v>531</v>
      </c>
      <c r="B100" s="117"/>
      <c r="C100" s="11"/>
      <c r="D100" s="11"/>
      <c r="E100" s="11"/>
      <c r="F100" s="11"/>
      <c r="G100" s="194"/>
      <c r="H100" s="420"/>
      <c r="I100" s="421"/>
      <c r="J100" s="434"/>
      <c r="K100" s="420">
        <f>K96+K97+K98</f>
        <v>2578.32</v>
      </c>
      <c r="L100" s="115"/>
      <c r="M100" s="115"/>
      <c r="N100" s="115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</row>
    <row r="101" spans="1:132" s="74" customFormat="1" ht="32.25" customHeight="1" thickBot="1">
      <c r="A101" s="503" t="s">
        <v>56</v>
      </c>
      <c r="B101" s="504"/>
      <c r="C101" s="505"/>
      <c r="D101" s="505"/>
      <c r="E101" s="505"/>
      <c r="F101" s="505"/>
      <c r="G101" s="506"/>
      <c r="H101" s="507">
        <f>H13+H22+H30+H43+H56+H69+H79+H95</f>
        <v>15306.282089583336</v>
      </c>
      <c r="I101" s="508"/>
      <c r="J101" s="506"/>
      <c r="K101" s="507">
        <f>K13+K22+K30+K43+K56+K69+K79+K44+K71+K95+K96+K97+K98</f>
        <v>17181.692462549203</v>
      </c>
      <c r="L101" s="147"/>
      <c r="M101" s="148"/>
      <c r="N101" s="148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68" r:id="rId1"/>
  <headerFooter alignWithMargins="0">
    <oddFooter>&amp;CСтраница &amp;P из &amp;N</oddFooter>
  </headerFooter>
  <rowBreaks count="1" manualBreakCount="1">
    <brk id="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4">
      <selection activeCell="H37" sqref="H37"/>
    </sheetView>
  </sheetViews>
  <sheetFormatPr defaultColWidth="9.00390625" defaultRowHeight="12.75"/>
  <cols>
    <col min="1" max="1" width="4.50390625" style="0" customWidth="1"/>
    <col min="2" max="2" width="16.50390625" style="0" customWidth="1"/>
    <col min="3" max="3" width="24.375" style="0" customWidth="1"/>
    <col min="4" max="4" width="9.50390625" style="0" customWidth="1"/>
    <col min="5" max="5" width="7.50390625" style="0" customWidth="1"/>
    <col min="7" max="7" width="10.50390625" style="0" customWidth="1"/>
    <col min="8" max="8" width="10.375" style="0" customWidth="1"/>
    <col min="9" max="9" width="9.875" style="0" customWidth="1"/>
    <col min="10" max="10" width="12.50390625" style="0" customWidth="1"/>
  </cols>
  <sheetData>
    <row r="1" spans="1:10" ht="33" customHeight="1">
      <c r="A1" s="6"/>
      <c r="B1" s="855" t="s">
        <v>495</v>
      </c>
      <c r="C1" s="855"/>
      <c r="D1" s="855"/>
      <c r="E1" s="855"/>
      <c r="F1" s="855"/>
      <c r="G1" s="855"/>
      <c r="H1" s="855"/>
      <c r="I1" s="855"/>
      <c r="J1" s="217"/>
    </row>
    <row r="2" spans="1:10" ht="13.5" thickBot="1">
      <c r="A2" s="3"/>
      <c r="B2" s="29" t="s">
        <v>472</v>
      </c>
      <c r="C2" s="3"/>
      <c r="D2" s="3"/>
      <c r="E2" s="3"/>
      <c r="F2" s="26"/>
      <c r="G2" s="3"/>
      <c r="H2" s="3"/>
      <c r="I2" s="26"/>
      <c r="J2" s="3"/>
    </row>
    <row r="3" spans="1:10" ht="45.75">
      <c r="A3" s="509" t="s">
        <v>108</v>
      </c>
      <c r="B3" s="453" t="s">
        <v>473</v>
      </c>
      <c r="C3" s="453" t="s">
        <v>109</v>
      </c>
      <c r="D3" s="453" t="s">
        <v>110</v>
      </c>
      <c r="E3" s="453" t="s">
        <v>110</v>
      </c>
      <c r="F3" s="453" t="s">
        <v>111</v>
      </c>
      <c r="G3" s="151" t="s">
        <v>114</v>
      </c>
      <c r="H3" s="151" t="s">
        <v>326</v>
      </c>
      <c r="I3" s="510" t="s">
        <v>282</v>
      </c>
      <c r="J3" s="511" t="s">
        <v>312</v>
      </c>
    </row>
    <row r="4" spans="1:13" ht="27" thickBot="1">
      <c r="A4" s="512"/>
      <c r="B4" s="513"/>
      <c r="C4" s="513"/>
      <c r="D4" s="514"/>
      <c r="E4" s="513" t="s">
        <v>325</v>
      </c>
      <c r="F4" s="515" t="s">
        <v>324</v>
      </c>
      <c r="G4" s="299" t="s">
        <v>323</v>
      </c>
      <c r="H4" s="300" t="s">
        <v>322</v>
      </c>
      <c r="I4" s="516" t="s">
        <v>436</v>
      </c>
      <c r="J4" s="344" t="s">
        <v>327</v>
      </c>
      <c r="M4" t="s">
        <v>533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3">
        <v>9</v>
      </c>
      <c r="J5" s="345">
        <v>10</v>
      </c>
    </row>
    <row r="6" spans="1:13" ht="18" customHeight="1" thickBot="1">
      <c r="A6" s="517"/>
      <c r="B6" s="352"/>
      <c r="C6" s="557" t="s">
        <v>184</v>
      </c>
      <c r="D6" s="518"/>
      <c r="E6" s="352"/>
      <c r="F6" s="352"/>
      <c r="G6" s="518"/>
      <c r="H6" s="519"/>
      <c r="I6" s="520"/>
      <c r="J6" s="521">
        <f>'Исход дан'!D16</f>
        <v>6023.799999999999</v>
      </c>
      <c r="M6">
        <v>18150</v>
      </c>
    </row>
    <row r="7" spans="1:10" ht="51.75" customHeight="1">
      <c r="A7" s="42">
        <v>1</v>
      </c>
      <c r="B7" s="34" t="s">
        <v>475</v>
      </c>
      <c r="C7" s="34" t="s">
        <v>112</v>
      </c>
      <c r="D7" s="34" t="s">
        <v>167</v>
      </c>
      <c r="E7" s="219">
        <v>1</v>
      </c>
      <c r="F7" s="741">
        <v>927.7</v>
      </c>
      <c r="G7" s="219">
        <v>1</v>
      </c>
      <c r="H7" s="457">
        <f>18150/164.25*0.012*1.302</f>
        <v>1.7264876712328767</v>
      </c>
      <c r="I7" s="229">
        <f>F7/E7*G7*H7</f>
        <v>1601.6626126027397</v>
      </c>
      <c r="J7" s="682">
        <f>I7/J$6/12</f>
        <v>0.022157422952880517</v>
      </c>
    </row>
    <row r="8" spans="1:10" ht="33.75" customHeight="1">
      <c r="A8" s="42">
        <v>2</v>
      </c>
      <c r="B8" s="34" t="s">
        <v>476</v>
      </c>
      <c r="C8" s="34" t="s">
        <v>168</v>
      </c>
      <c r="D8" s="34" t="s">
        <v>167</v>
      </c>
      <c r="E8" s="219">
        <v>1</v>
      </c>
      <c r="F8" s="219">
        <v>391.2</v>
      </c>
      <c r="G8" s="219">
        <v>1</v>
      </c>
      <c r="H8" s="457">
        <f>18150/164.25*0.012*1.302</f>
        <v>1.7264876712328767</v>
      </c>
      <c r="I8" s="229">
        <f aca="true" t="shared" si="0" ref="I8:I20">F8/E8*G8*H8</f>
        <v>675.4019769863014</v>
      </c>
      <c r="J8" s="682">
        <f aca="true" t="shared" si="1" ref="J8:J20">I8/J$6/12</f>
        <v>0.009343520382846674</v>
      </c>
    </row>
    <row r="9" spans="1:10" ht="33.75" customHeight="1">
      <c r="A9" s="42">
        <v>3</v>
      </c>
      <c r="B9" s="34" t="s">
        <v>477</v>
      </c>
      <c r="C9" s="34" t="s">
        <v>169</v>
      </c>
      <c r="D9" s="34" t="s">
        <v>167</v>
      </c>
      <c r="E9" s="219">
        <v>1</v>
      </c>
      <c r="F9" s="219">
        <v>391.2</v>
      </c>
      <c r="G9" s="219">
        <v>1</v>
      </c>
      <c r="H9" s="457">
        <f>18150/164.25*0.08*1.302</f>
        <v>11.509917808219178</v>
      </c>
      <c r="I9" s="229">
        <f t="shared" si="0"/>
        <v>4502.679846575343</v>
      </c>
      <c r="J9" s="682">
        <f t="shared" si="1"/>
        <v>0.06229013588564449</v>
      </c>
    </row>
    <row r="10" spans="1:10" ht="43.5" customHeight="1">
      <c r="A10" s="42">
        <v>4</v>
      </c>
      <c r="B10" s="34" t="s">
        <v>478</v>
      </c>
      <c r="C10" s="34" t="s">
        <v>127</v>
      </c>
      <c r="D10" s="34" t="s">
        <v>128</v>
      </c>
      <c r="E10" s="219">
        <v>1</v>
      </c>
      <c r="F10" s="219">
        <f>'Исход дан'!D24</f>
        <v>52</v>
      </c>
      <c r="G10" s="219">
        <v>1</v>
      </c>
      <c r="H10" s="457">
        <f>M6/164.25*0.56*1.302</f>
        <v>80.56942465753426</v>
      </c>
      <c r="I10" s="229">
        <f t="shared" si="0"/>
        <v>4189.610082191782</v>
      </c>
      <c r="J10" s="682">
        <f t="shared" si="1"/>
        <v>0.05795912439257311</v>
      </c>
    </row>
    <row r="11" spans="1:10" ht="67.5" customHeight="1">
      <c r="A11" s="42">
        <v>5</v>
      </c>
      <c r="B11" s="34" t="s">
        <v>479</v>
      </c>
      <c r="C11" s="34" t="s">
        <v>118</v>
      </c>
      <c r="D11" s="34" t="s">
        <v>117</v>
      </c>
      <c r="E11" s="219">
        <v>1</v>
      </c>
      <c r="F11" s="219">
        <f>'Исход дан'!D25</f>
        <v>810</v>
      </c>
      <c r="G11" s="219">
        <v>1</v>
      </c>
      <c r="H11" s="457"/>
      <c r="I11" s="229">
        <f t="shared" si="0"/>
        <v>0</v>
      </c>
      <c r="J11" s="682">
        <f t="shared" si="1"/>
        <v>0</v>
      </c>
    </row>
    <row r="12" spans="1:10" ht="64.5" customHeight="1">
      <c r="A12" s="42">
        <v>6</v>
      </c>
      <c r="B12" s="34" t="s">
        <v>480</v>
      </c>
      <c r="C12" s="34" t="s">
        <v>148</v>
      </c>
      <c r="D12" s="34" t="s">
        <v>119</v>
      </c>
      <c r="E12" s="219">
        <v>1</v>
      </c>
      <c r="F12" s="219">
        <v>420</v>
      </c>
      <c r="G12" s="219"/>
      <c r="H12" s="457"/>
      <c r="I12" s="229">
        <f t="shared" si="0"/>
        <v>0</v>
      </c>
      <c r="J12" s="682">
        <f t="shared" si="1"/>
        <v>0</v>
      </c>
    </row>
    <row r="13" spans="1:10" ht="38.25" customHeight="1">
      <c r="A13" s="42">
        <v>7</v>
      </c>
      <c r="B13" s="34" t="s">
        <v>481</v>
      </c>
      <c r="C13" s="34" t="s">
        <v>428</v>
      </c>
      <c r="D13" s="34" t="s">
        <v>119</v>
      </c>
      <c r="E13" s="219">
        <v>1</v>
      </c>
      <c r="F13" s="219">
        <v>260</v>
      </c>
      <c r="G13" s="219">
        <v>1</v>
      </c>
      <c r="H13" s="457">
        <f>M6/164.25*0.33*1.302</f>
        <v>47.478410958904114</v>
      </c>
      <c r="I13" s="229">
        <f t="shared" si="0"/>
        <v>12344.38684931507</v>
      </c>
      <c r="J13" s="682">
        <f t="shared" si="1"/>
        <v>0.17077242008526003</v>
      </c>
    </row>
    <row r="14" spans="1:10" ht="42" customHeight="1">
      <c r="A14" s="42">
        <v>8</v>
      </c>
      <c r="B14" s="34" t="s">
        <v>482</v>
      </c>
      <c r="C14" s="34" t="s">
        <v>501</v>
      </c>
      <c r="D14" s="34" t="s">
        <v>124</v>
      </c>
      <c r="E14" s="219">
        <v>1</v>
      </c>
      <c r="F14" s="219">
        <f>'Исход дан'!D31</f>
        <v>104</v>
      </c>
      <c r="G14" s="219">
        <v>1</v>
      </c>
      <c r="H14" s="457">
        <f>M6/164.25*0.26*1.302</f>
        <v>37.40723287671233</v>
      </c>
      <c r="I14" s="229">
        <f t="shared" si="0"/>
        <v>3890.352219178082</v>
      </c>
      <c r="J14" s="682">
        <f t="shared" si="1"/>
        <v>0.053819186935960724</v>
      </c>
    </row>
    <row r="15" spans="1:10" ht="34.5" customHeight="1">
      <c r="A15" s="42">
        <v>9</v>
      </c>
      <c r="B15" s="34" t="s">
        <v>483</v>
      </c>
      <c r="C15" s="34" t="s">
        <v>125</v>
      </c>
      <c r="D15" s="34" t="s">
        <v>126</v>
      </c>
      <c r="E15" s="219">
        <v>100</v>
      </c>
      <c r="F15" s="219">
        <f>'Исход дан'!D23</f>
        <v>31715</v>
      </c>
      <c r="G15" s="219">
        <v>1</v>
      </c>
      <c r="H15" s="457">
        <f>M6/164.25*0.87*1.302</f>
        <v>125.17035616438356</v>
      </c>
      <c r="I15" s="229">
        <f t="shared" si="0"/>
        <v>39697.778457534245</v>
      </c>
      <c r="J15" s="682">
        <f t="shared" si="1"/>
        <v>0.5491796216332748</v>
      </c>
    </row>
    <row r="16" spans="1:10" ht="46.5" customHeight="1">
      <c r="A16" s="42">
        <v>10</v>
      </c>
      <c r="B16" s="34" t="s">
        <v>484</v>
      </c>
      <c r="C16" s="34" t="s">
        <v>129</v>
      </c>
      <c r="D16" s="34" t="s">
        <v>130</v>
      </c>
      <c r="E16" s="219">
        <v>100</v>
      </c>
      <c r="F16" s="219">
        <f>'Исход дан'!D28</f>
        <v>2340</v>
      </c>
      <c r="G16" s="219">
        <v>1</v>
      </c>
      <c r="H16" s="814">
        <f>M6/164.25*7.7*1.302</f>
        <v>1107.829589041096</v>
      </c>
      <c r="I16" s="806">
        <f t="shared" si="0"/>
        <v>25923.212383561644</v>
      </c>
      <c r="J16" s="807">
        <f t="shared" si="1"/>
        <v>0.358622082179046</v>
      </c>
    </row>
    <row r="17" spans="1:10" ht="55.5" customHeight="1">
      <c r="A17" s="42">
        <v>11</v>
      </c>
      <c r="B17" s="34" t="s">
        <v>485</v>
      </c>
      <c r="C17" s="34" t="s">
        <v>123</v>
      </c>
      <c r="D17" s="34" t="s">
        <v>122</v>
      </c>
      <c r="E17" s="219">
        <v>1</v>
      </c>
      <c r="F17" s="219">
        <f>'Исход дан'!D30</f>
        <v>43</v>
      </c>
      <c r="G17" s="219">
        <v>1</v>
      </c>
      <c r="H17" s="457">
        <f>M6/164.25*4.1*1.302</f>
        <v>589.8832876712328</v>
      </c>
      <c r="I17" s="229">
        <f t="shared" si="0"/>
        <v>25364.98136986301</v>
      </c>
      <c r="J17" s="682">
        <f t="shared" si="1"/>
        <v>0.35089950653882673</v>
      </c>
    </row>
    <row r="18" spans="1:10" ht="56.25" customHeight="1">
      <c r="A18" s="42">
        <v>12</v>
      </c>
      <c r="B18" s="34" t="s">
        <v>486</v>
      </c>
      <c r="C18" s="34" t="s">
        <v>115</v>
      </c>
      <c r="D18" s="34" t="s">
        <v>116</v>
      </c>
      <c r="E18" s="219">
        <v>1</v>
      </c>
      <c r="F18" s="219">
        <f>'Исход дан'!D29</f>
        <v>42</v>
      </c>
      <c r="G18" s="219">
        <v>2</v>
      </c>
      <c r="H18" s="457">
        <f>M6/164.25*0.58*1.302</f>
        <v>83.44690410958903</v>
      </c>
      <c r="I18" s="229">
        <f t="shared" si="0"/>
        <v>7009.539945205478</v>
      </c>
      <c r="J18" s="682">
        <f t="shared" si="1"/>
        <v>0.09697007350295879</v>
      </c>
    </row>
    <row r="19" spans="1:10" ht="29.25" customHeight="1">
      <c r="A19" s="42">
        <v>13</v>
      </c>
      <c r="B19" s="34" t="s">
        <v>487</v>
      </c>
      <c r="C19" s="34" t="s">
        <v>120</v>
      </c>
      <c r="D19" s="34" t="s">
        <v>121</v>
      </c>
      <c r="E19" s="219">
        <v>1</v>
      </c>
      <c r="F19" s="219">
        <v>30</v>
      </c>
      <c r="G19" s="219">
        <v>1</v>
      </c>
      <c r="H19" s="457">
        <f>18150/164.25*3.24*1.302</f>
        <v>466.1516712328767</v>
      </c>
      <c r="I19" s="229">
        <f t="shared" si="0"/>
        <v>13984.550136986301</v>
      </c>
      <c r="J19" s="682">
        <f t="shared" si="1"/>
        <v>0.19346246191477004</v>
      </c>
    </row>
    <row r="20" spans="1:10" ht="30.75" customHeight="1">
      <c r="A20" s="42">
        <v>14</v>
      </c>
      <c r="B20" s="34" t="s">
        <v>487</v>
      </c>
      <c r="C20" s="34" t="s">
        <v>149</v>
      </c>
      <c r="D20" s="34" t="s">
        <v>121</v>
      </c>
      <c r="E20" s="219">
        <v>1</v>
      </c>
      <c r="F20" s="219">
        <v>5</v>
      </c>
      <c r="G20" s="219">
        <v>1</v>
      </c>
      <c r="H20" s="457">
        <f>18150/164.25*3.24*1.302</f>
        <v>466.1516712328767</v>
      </c>
      <c r="I20" s="229">
        <f t="shared" si="0"/>
        <v>2330.7583561643837</v>
      </c>
      <c r="J20" s="682">
        <f t="shared" si="1"/>
        <v>0.03224374365246168</v>
      </c>
    </row>
    <row r="21" spans="1:10" ht="21.75" customHeight="1">
      <c r="A21" s="42">
        <v>15</v>
      </c>
      <c r="B21" s="34"/>
      <c r="C21" s="34" t="s">
        <v>404</v>
      </c>
      <c r="D21" s="34"/>
      <c r="E21" s="219"/>
      <c r="F21" s="219"/>
      <c r="G21" s="219"/>
      <c r="H21" s="219"/>
      <c r="I21" s="229"/>
      <c r="J21" s="682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34"/>
      <c r="I22" s="229"/>
      <c r="J22" s="522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29"/>
      <c r="J23" s="522"/>
    </row>
    <row r="24" spans="1:10" ht="26.25" customHeight="1">
      <c r="A24" s="737">
        <v>18</v>
      </c>
      <c r="B24" s="738" t="s">
        <v>494</v>
      </c>
      <c r="C24" s="738"/>
      <c r="D24" s="738"/>
      <c r="E24" s="738"/>
      <c r="F24" s="738"/>
      <c r="G24" s="738"/>
      <c r="H24" s="738"/>
      <c r="I24" s="739">
        <f>SUM(I7:I23)</f>
        <v>141514.91423616436</v>
      </c>
      <c r="J24" s="740">
        <f>I24/J6/12</f>
        <v>1.9577193000565034</v>
      </c>
    </row>
    <row r="25" spans="1:10" ht="12.75">
      <c r="A25" s="523"/>
      <c r="B25" s="524"/>
      <c r="C25" s="525"/>
      <c r="D25" s="525"/>
      <c r="E25" s="525"/>
      <c r="F25" s="525"/>
      <c r="G25" s="525"/>
      <c r="H25" s="526"/>
      <c r="I25" s="527"/>
      <c r="J25" s="522"/>
    </row>
    <row r="26" spans="1:10" ht="18" customHeight="1">
      <c r="A26" s="42"/>
      <c r="B26" s="528"/>
      <c r="C26" s="558" t="s">
        <v>474</v>
      </c>
      <c r="D26" s="34"/>
      <c r="E26" s="34"/>
      <c r="F26" s="34"/>
      <c r="G26" s="34"/>
      <c r="H26" s="34"/>
      <c r="I26" s="229"/>
      <c r="J26" s="522"/>
    </row>
    <row r="27" spans="1:10" ht="22.5" customHeight="1">
      <c r="A27" s="42"/>
      <c r="B27" s="528"/>
      <c r="C27" s="34" t="s">
        <v>131</v>
      </c>
      <c r="D27" s="34"/>
      <c r="E27" s="34"/>
      <c r="F27" s="34"/>
      <c r="G27" s="34"/>
      <c r="H27" s="34"/>
      <c r="I27" s="229"/>
      <c r="J27" s="522"/>
    </row>
    <row r="28" spans="1:10" ht="53.25" customHeight="1">
      <c r="A28" s="42">
        <v>1</v>
      </c>
      <c r="B28" s="34" t="s">
        <v>488</v>
      </c>
      <c r="C28" s="34" t="s">
        <v>281</v>
      </c>
      <c r="D28" s="34" t="s">
        <v>133</v>
      </c>
      <c r="E28" s="219">
        <v>1000</v>
      </c>
      <c r="F28" s="741">
        <v>6023.8</v>
      </c>
      <c r="G28" s="219">
        <v>1</v>
      </c>
      <c r="H28" s="457">
        <f>M6/164.25*10*1.302</f>
        <v>1438.7397260273972</v>
      </c>
      <c r="I28" s="229">
        <v>0</v>
      </c>
      <c r="J28" s="682">
        <f>I28/J$6/12</f>
        <v>0</v>
      </c>
    </row>
    <row r="29" spans="1:10" ht="66" customHeight="1">
      <c r="A29" s="42">
        <v>2</v>
      </c>
      <c r="B29" s="34" t="s">
        <v>489</v>
      </c>
      <c r="C29" s="34" t="s">
        <v>360</v>
      </c>
      <c r="D29" s="34" t="s">
        <v>132</v>
      </c>
      <c r="E29" s="219">
        <v>1000</v>
      </c>
      <c r="F29" s="219">
        <f>'Исход дан'!D22</f>
        <v>2209.9</v>
      </c>
      <c r="G29" s="219">
        <v>7</v>
      </c>
      <c r="H29" s="457">
        <f>M6/164.25*4*1.302</f>
        <v>575.4958904109589</v>
      </c>
      <c r="I29" s="229">
        <f>F29/E29*G29*H29</f>
        <v>8902.518577534245</v>
      </c>
      <c r="J29" s="682">
        <f aca="true" t="shared" si="2" ref="J29:J38">I29/J$6/12</f>
        <v>0.12315756634148774</v>
      </c>
    </row>
    <row r="30" spans="1:10" ht="67.5" customHeight="1">
      <c r="A30" s="42">
        <v>2</v>
      </c>
      <c r="B30" s="34" t="s">
        <v>489</v>
      </c>
      <c r="C30" s="831" t="s">
        <v>361</v>
      </c>
      <c r="D30" s="34" t="s">
        <v>132</v>
      </c>
      <c r="E30" s="219">
        <v>1000</v>
      </c>
      <c r="F30" s="219">
        <f>'Исход дан'!D22</f>
        <v>2209.9</v>
      </c>
      <c r="G30" s="219">
        <v>1</v>
      </c>
      <c r="H30" s="457">
        <f>M6/164.25*4*1.302</f>
        <v>575.4958904109589</v>
      </c>
      <c r="I30" s="229">
        <f aca="true" t="shared" si="3" ref="I30:I37">F30/E30*G30*H30</f>
        <v>1271.788368219178</v>
      </c>
      <c r="J30" s="682">
        <f t="shared" si="2"/>
        <v>0.017593938048783963</v>
      </c>
    </row>
    <row r="31" spans="1:10" ht="54" customHeight="1">
      <c r="A31" s="42">
        <v>3</v>
      </c>
      <c r="B31" s="34" t="s">
        <v>490</v>
      </c>
      <c r="C31" s="34" t="s">
        <v>471</v>
      </c>
      <c r="D31" s="34" t="s">
        <v>170</v>
      </c>
      <c r="E31" s="219">
        <v>100</v>
      </c>
      <c r="F31" s="219">
        <f>'Исход дан'!D10</f>
        <v>52</v>
      </c>
      <c r="G31" s="219">
        <v>1</v>
      </c>
      <c r="H31" s="457">
        <v>0</v>
      </c>
      <c r="I31" s="229">
        <f t="shared" si="3"/>
        <v>0</v>
      </c>
      <c r="J31" s="682">
        <f t="shared" si="2"/>
        <v>0</v>
      </c>
    </row>
    <row r="32" spans="1:10" ht="57" customHeight="1">
      <c r="A32" s="42">
        <v>4</v>
      </c>
      <c r="B32" s="34" t="s">
        <v>491</v>
      </c>
      <c r="C32" s="34" t="s">
        <v>362</v>
      </c>
      <c r="D32" s="34" t="s">
        <v>132</v>
      </c>
      <c r="E32" s="742">
        <v>1000</v>
      </c>
      <c r="F32" s="219">
        <f>'Исход дан'!D22</f>
        <v>2209.9</v>
      </c>
      <c r="G32" s="219">
        <v>12</v>
      </c>
      <c r="H32" s="457">
        <f>M6/164.25*4*1.302</f>
        <v>575.4958904109589</v>
      </c>
      <c r="I32" s="229">
        <f t="shared" si="3"/>
        <v>15261.460418630137</v>
      </c>
      <c r="J32" s="682">
        <f t="shared" si="2"/>
        <v>0.21112725658540757</v>
      </c>
    </row>
    <row r="33" spans="1:10" ht="40.5" customHeight="1">
      <c r="A33" s="42">
        <v>5</v>
      </c>
      <c r="B33" s="34" t="s">
        <v>491</v>
      </c>
      <c r="C33" s="34" t="s">
        <v>355</v>
      </c>
      <c r="D33" s="34" t="s">
        <v>132</v>
      </c>
      <c r="E33" s="742">
        <v>1000</v>
      </c>
      <c r="F33" s="219">
        <v>532.9</v>
      </c>
      <c r="G33" s="219">
        <v>12</v>
      </c>
      <c r="H33" s="457">
        <f>18150/164.25*4*1.302</f>
        <v>575.4958904109589</v>
      </c>
      <c r="I33" s="229">
        <f t="shared" si="3"/>
        <v>3680.1811199999993</v>
      </c>
      <c r="J33" s="682">
        <f t="shared" si="2"/>
        <v>0.05091167701450911</v>
      </c>
    </row>
    <row r="34" spans="1:10" ht="69" customHeight="1">
      <c r="A34" s="42">
        <v>6</v>
      </c>
      <c r="B34" s="34" t="s">
        <v>492</v>
      </c>
      <c r="C34" s="34" t="s">
        <v>134</v>
      </c>
      <c r="D34" s="34" t="s">
        <v>135</v>
      </c>
      <c r="E34" s="219">
        <v>100</v>
      </c>
      <c r="F34" s="219">
        <v>23</v>
      </c>
      <c r="G34" s="219">
        <v>4</v>
      </c>
      <c r="H34" s="457">
        <f>18150/164.25*9*1.302</f>
        <v>1294.8657534246574</v>
      </c>
      <c r="I34" s="229">
        <f t="shared" si="3"/>
        <v>1191.276493150685</v>
      </c>
      <c r="J34" s="682">
        <f t="shared" si="2"/>
        <v>0.016480135644591522</v>
      </c>
    </row>
    <row r="35" spans="1:10" ht="66" customHeight="1">
      <c r="A35" s="42">
        <v>7</v>
      </c>
      <c r="B35" s="34" t="s">
        <v>493</v>
      </c>
      <c r="C35" s="34" t="s">
        <v>136</v>
      </c>
      <c r="D35" s="34" t="s">
        <v>137</v>
      </c>
      <c r="E35" s="219">
        <v>1</v>
      </c>
      <c r="F35" s="219">
        <f>'Исход дан'!D33</f>
        <v>2</v>
      </c>
      <c r="G35" s="219">
        <v>12</v>
      </c>
      <c r="H35" s="457">
        <f>18150/164.25*0.5*1.302</f>
        <v>71.93698630136986</v>
      </c>
      <c r="I35" s="229">
        <f t="shared" si="3"/>
        <v>1726.4876712328764</v>
      </c>
      <c r="J35" s="682">
        <f t="shared" si="2"/>
        <v>0.023884254557379015</v>
      </c>
    </row>
    <row r="36" spans="1:10" ht="66.75" customHeight="1">
      <c r="A36" s="42">
        <v>8</v>
      </c>
      <c r="B36" s="34" t="s">
        <v>516</v>
      </c>
      <c r="C36" s="34" t="s">
        <v>412</v>
      </c>
      <c r="D36" s="34" t="s">
        <v>139</v>
      </c>
      <c r="E36" s="219">
        <v>1000</v>
      </c>
      <c r="F36" s="741">
        <f>'Исход дан'!D17</f>
        <v>3583.2</v>
      </c>
      <c r="G36" s="219">
        <v>4</v>
      </c>
      <c r="H36" s="457">
        <f>18150/164.25*8*1.302</f>
        <v>1150.9917808219177</v>
      </c>
      <c r="I36" s="229">
        <v>0</v>
      </c>
      <c r="J36" s="682">
        <f t="shared" si="2"/>
        <v>0</v>
      </c>
    </row>
    <row r="37" spans="1:10" ht="66" customHeight="1">
      <c r="A37" s="42">
        <v>9</v>
      </c>
      <c r="B37" s="34" t="s">
        <v>516</v>
      </c>
      <c r="C37" s="34" t="s">
        <v>138</v>
      </c>
      <c r="D37" s="34" t="s">
        <v>139</v>
      </c>
      <c r="E37" s="219">
        <v>1000</v>
      </c>
      <c r="F37" s="219">
        <f>'Исход дан'!D22</f>
        <v>2209.9</v>
      </c>
      <c r="G37" s="219">
        <v>4</v>
      </c>
      <c r="H37" s="457">
        <f>18150/164.25*8*1.302</f>
        <v>1150.9917808219177</v>
      </c>
      <c r="I37" s="229">
        <f t="shared" si="3"/>
        <v>10174.306945753424</v>
      </c>
      <c r="J37" s="682">
        <f t="shared" si="2"/>
        <v>0.1407515043902717</v>
      </c>
    </row>
    <row r="38" spans="1:10" ht="28.5" customHeight="1">
      <c r="A38" s="737">
        <v>10</v>
      </c>
      <c r="B38" s="738" t="s">
        <v>140</v>
      </c>
      <c r="C38" s="738"/>
      <c r="D38" s="738"/>
      <c r="E38" s="738"/>
      <c r="F38" s="738"/>
      <c r="G38" s="738"/>
      <c r="H38" s="738"/>
      <c r="I38" s="739">
        <f>SUM(I28:I37)</f>
        <v>42208.01959452055</v>
      </c>
      <c r="J38" s="740">
        <f t="shared" si="2"/>
        <v>0.5839063325824307</v>
      </c>
    </row>
    <row r="39" spans="1:10" ht="12.75">
      <c r="A39" s="523"/>
      <c r="B39" s="524"/>
      <c r="C39" s="524"/>
      <c r="D39" s="524"/>
      <c r="E39" s="524"/>
      <c r="F39" s="524"/>
      <c r="G39" s="524"/>
      <c r="H39" s="524"/>
      <c r="I39" s="529"/>
      <c r="J39" s="522"/>
    </row>
    <row r="40" spans="1:10" ht="12.75">
      <c r="A40" s="16"/>
      <c r="B40" s="9" t="s">
        <v>141</v>
      </c>
      <c r="C40" s="9"/>
      <c r="D40" s="9"/>
      <c r="E40" s="9"/>
      <c r="F40" s="9"/>
      <c r="G40" s="9"/>
      <c r="H40" s="9"/>
      <c r="I40" s="108">
        <f>I24+I38</f>
        <v>183722.93383068492</v>
      </c>
      <c r="J40" s="346">
        <f>I40/J6/12</f>
        <v>2.5416256326389344</v>
      </c>
    </row>
    <row r="41" spans="1:10" ht="13.5" thickBot="1">
      <c r="A41" s="530"/>
      <c r="B41" s="531"/>
      <c r="C41" s="531"/>
      <c r="D41" s="531"/>
      <c r="E41" s="531"/>
      <c r="F41" s="531"/>
      <c r="G41" s="531"/>
      <c r="H41" s="531"/>
      <c r="I41" s="532"/>
      <c r="J41" s="533"/>
    </row>
    <row r="42" spans="1:10" ht="12.75">
      <c r="A42" s="534"/>
      <c r="B42" s="534"/>
      <c r="C42" s="534"/>
      <c r="D42" s="534"/>
      <c r="E42" s="534"/>
      <c r="F42" s="534"/>
      <c r="G42" s="534"/>
      <c r="H42" s="534"/>
      <c r="I42" s="534"/>
      <c r="J42" s="534"/>
    </row>
    <row r="43" spans="1:10" ht="25.5" customHeight="1">
      <c r="A43" s="856" t="s">
        <v>574</v>
      </c>
      <c r="B43" s="856"/>
      <c r="C43" s="856"/>
      <c r="D43" s="856"/>
      <c r="E43" s="856"/>
      <c r="F43" s="856"/>
      <c r="G43" s="856"/>
      <c r="H43" s="856"/>
      <c r="I43" s="856"/>
      <c r="J43" s="856"/>
    </row>
  </sheetData>
  <sheetProtection/>
  <mergeCells count="2">
    <mergeCell ref="B1:I1"/>
    <mergeCell ref="A43:J43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22">
      <selection activeCell="D41" sqref="D41"/>
    </sheetView>
  </sheetViews>
  <sheetFormatPr defaultColWidth="9.00390625" defaultRowHeight="12.75"/>
  <cols>
    <col min="1" max="1" width="3.875" style="111" customWidth="1"/>
    <col min="2" max="2" width="24.875" style="0" customWidth="1"/>
    <col min="3" max="3" width="16.00390625" style="3" customWidth="1"/>
    <col min="4" max="4" width="10.125" style="3" bestFit="1" customWidth="1"/>
    <col min="5" max="5" width="10.375" style="3" customWidth="1"/>
    <col min="6" max="6" width="9.375" style="3" bestFit="1" customWidth="1"/>
    <col min="7" max="7" width="8.00390625" style="3" customWidth="1"/>
    <col min="8" max="8" width="12.875" style="3" customWidth="1"/>
    <col min="9" max="9" width="11.375" style="3" hidden="1" customWidth="1"/>
    <col min="10" max="10" width="0" style="152" hidden="1" customWidth="1"/>
    <col min="11" max="11" width="0" style="3" hidden="1" customWidth="1"/>
    <col min="12" max="12" width="0" style="152" hidden="1" customWidth="1"/>
    <col min="13" max="13" width="0" style="0" hidden="1" customWidth="1"/>
    <col min="14" max="14" width="9.625" style="3" customWidth="1"/>
    <col min="15" max="15" width="12.00390625" style="3" customWidth="1"/>
    <col min="16" max="16" width="13.375" style="0" bestFit="1" customWidth="1"/>
    <col min="17" max="17" width="10.125" style="0" bestFit="1" customWidth="1"/>
  </cols>
  <sheetData>
    <row r="1" spans="2:15" ht="17.25" customHeight="1">
      <c r="B1" s="861" t="s">
        <v>498</v>
      </c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15.75" thickBot="1">
      <c r="A2" s="110"/>
      <c r="B2" s="128" t="s">
        <v>497</v>
      </c>
      <c r="H2" s="238"/>
      <c r="O2" s="437"/>
    </row>
    <row r="3" spans="1:15" s="2" customFormat="1" ht="78.75" customHeight="1">
      <c r="A3" s="235"/>
      <c r="B3" s="236" t="s">
        <v>0</v>
      </c>
      <c r="C3" s="15" t="s">
        <v>87</v>
      </c>
      <c r="D3" s="15" t="s">
        <v>153</v>
      </c>
      <c r="E3" s="15" t="s">
        <v>354</v>
      </c>
      <c r="F3" s="15" t="s">
        <v>152</v>
      </c>
      <c r="G3" s="218" t="s">
        <v>512</v>
      </c>
      <c r="H3" s="311" t="s">
        <v>331</v>
      </c>
      <c r="I3" s="859" t="s">
        <v>156</v>
      </c>
      <c r="J3" s="860"/>
      <c r="K3" s="860"/>
      <c r="L3" s="860"/>
      <c r="M3" s="218"/>
      <c r="N3" s="438" t="s">
        <v>192</v>
      </c>
      <c r="O3" s="857" t="s">
        <v>180</v>
      </c>
    </row>
    <row r="4" spans="1:15" s="2" customFormat="1" ht="28.5" customHeight="1" thickBot="1">
      <c r="A4" s="243"/>
      <c r="B4" s="305"/>
      <c r="C4" s="12"/>
      <c r="D4" s="12"/>
      <c r="E4" s="310" t="s">
        <v>323</v>
      </c>
      <c r="F4" s="310" t="s">
        <v>328</v>
      </c>
      <c r="G4" s="443" t="s">
        <v>323</v>
      </c>
      <c r="H4" s="444" t="s">
        <v>330</v>
      </c>
      <c r="I4" s="306"/>
      <c r="J4" s="307"/>
      <c r="K4" s="307"/>
      <c r="L4" s="307"/>
      <c r="M4" s="216"/>
      <c r="N4" s="315" t="s">
        <v>352</v>
      </c>
      <c r="O4" s="858"/>
    </row>
    <row r="5" spans="1:15" s="237" customFormat="1" ht="14.25" customHeight="1" thickBot="1">
      <c r="A5" s="304" t="s">
        <v>88</v>
      </c>
      <c r="B5" s="309" t="s">
        <v>193</v>
      </c>
      <c r="C5" s="309" t="s">
        <v>89</v>
      </c>
      <c r="D5" s="304" t="s">
        <v>73</v>
      </c>
      <c r="E5" s="309" t="s">
        <v>74</v>
      </c>
      <c r="F5" s="309" t="s">
        <v>75</v>
      </c>
      <c r="G5" s="445" t="s">
        <v>76</v>
      </c>
      <c r="H5" s="447" t="s">
        <v>77</v>
      </c>
      <c r="I5" s="446" t="s">
        <v>78</v>
      </c>
      <c r="J5" s="304" t="s">
        <v>79</v>
      </c>
      <c r="K5" s="309" t="s">
        <v>80</v>
      </c>
      <c r="L5" s="309" t="s">
        <v>81</v>
      </c>
      <c r="M5" s="304" t="s">
        <v>82</v>
      </c>
      <c r="N5" s="448" t="s">
        <v>78</v>
      </c>
      <c r="O5" s="447" t="s">
        <v>79</v>
      </c>
    </row>
    <row r="6" spans="1:15" s="21" customFormat="1" ht="18.75" customHeight="1">
      <c r="A6" s="121" t="s">
        <v>193</v>
      </c>
      <c r="B6" s="565" t="s">
        <v>86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4" customFormat="1" ht="32.25" customHeight="1">
      <c r="A7" s="118" t="s">
        <v>89</v>
      </c>
      <c r="B7" s="382" t="s">
        <v>181</v>
      </c>
      <c r="C7" s="577"/>
      <c r="D7" s="577"/>
      <c r="E7" s="743" t="s">
        <v>341</v>
      </c>
      <c r="F7" s="743" t="s">
        <v>341</v>
      </c>
      <c r="G7" s="743" t="s">
        <v>341</v>
      </c>
      <c r="H7" s="760">
        <f>'сан содерж'!G19</f>
        <v>199968.339072</v>
      </c>
      <c r="I7" s="577" t="s">
        <v>341</v>
      </c>
      <c r="J7" s="577" t="s">
        <v>341</v>
      </c>
      <c r="K7" s="577" t="s">
        <v>341</v>
      </c>
      <c r="L7" s="577" t="s">
        <v>341</v>
      </c>
      <c r="M7" s="577" t="s">
        <v>341</v>
      </c>
      <c r="N7" s="577">
        <f>'Исход дан'!D$16</f>
        <v>6023.799999999999</v>
      </c>
      <c r="O7" s="690">
        <f>ROUND(H7/N7/12,2)</f>
        <v>2.77</v>
      </c>
    </row>
    <row r="8" spans="1:15" s="114" customFormat="1" ht="33" customHeight="1">
      <c r="A8" s="118" t="s">
        <v>73</v>
      </c>
      <c r="B8" s="382" t="s">
        <v>183</v>
      </c>
      <c r="C8" s="577"/>
      <c r="D8" s="577"/>
      <c r="E8" s="743" t="s">
        <v>341</v>
      </c>
      <c r="F8" s="743" t="s">
        <v>341</v>
      </c>
      <c r="G8" s="743" t="s">
        <v>341</v>
      </c>
      <c r="H8" s="616">
        <f>'сан содерж'!G42</f>
        <v>134023.7920849492</v>
      </c>
      <c r="I8" s="577" t="s">
        <v>341</v>
      </c>
      <c r="J8" s="577" t="s">
        <v>341</v>
      </c>
      <c r="K8" s="577" t="s">
        <v>341</v>
      </c>
      <c r="L8" s="577" t="s">
        <v>341</v>
      </c>
      <c r="M8" s="577" t="s">
        <v>341</v>
      </c>
      <c r="N8" s="577">
        <f>'Исход дан'!D$16</f>
        <v>6023.799999999999</v>
      </c>
      <c r="O8" s="690">
        <f>ROUND(H8/N8/12,2)</f>
        <v>1.85</v>
      </c>
    </row>
    <row r="9" spans="1:15" s="114" customFormat="1" ht="21.75" customHeight="1">
      <c r="A9" s="118" t="s">
        <v>74</v>
      </c>
      <c r="B9" s="382" t="s">
        <v>182</v>
      </c>
      <c r="C9" s="577"/>
      <c r="D9" s="577"/>
      <c r="E9" s="743" t="s">
        <v>341</v>
      </c>
      <c r="F9" s="743" t="s">
        <v>341</v>
      </c>
      <c r="G9" s="743" t="s">
        <v>341</v>
      </c>
      <c r="H9" s="616">
        <f>'сан содерж'!G54</f>
        <v>0</v>
      </c>
      <c r="I9" s="577" t="s">
        <v>341</v>
      </c>
      <c r="J9" s="577" t="s">
        <v>341</v>
      </c>
      <c r="K9" s="577" t="s">
        <v>341</v>
      </c>
      <c r="L9" s="577" t="s">
        <v>341</v>
      </c>
      <c r="M9" s="577" t="s">
        <v>341</v>
      </c>
      <c r="N9" s="577">
        <f>'Исход дан'!D$16</f>
        <v>6023.799999999999</v>
      </c>
      <c r="O9" s="690">
        <f>ROUND(H9/N9/12,2)</f>
        <v>0</v>
      </c>
    </row>
    <row r="10" spans="1:15" s="114" customFormat="1" ht="40.5" customHeight="1" thickBot="1">
      <c r="A10" s="243" t="s">
        <v>75</v>
      </c>
      <c r="B10" s="435" t="s">
        <v>413</v>
      </c>
      <c r="C10" s="578"/>
      <c r="D10" s="577"/>
      <c r="E10" s="743" t="s">
        <v>341</v>
      </c>
      <c r="F10" s="743" t="s">
        <v>341</v>
      </c>
      <c r="G10" s="743" t="s">
        <v>341</v>
      </c>
      <c r="H10" s="616">
        <f>'сан содерж'!G59</f>
        <v>2578.32</v>
      </c>
      <c r="I10" s="577" t="s">
        <v>341</v>
      </c>
      <c r="J10" s="577" t="s">
        <v>341</v>
      </c>
      <c r="K10" s="577" t="s">
        <v>341</v>
      </c>
      <c r="L10" s="577" t="s">
        <v>341</v>
      </c>
      <c r="M10" s="577" t="s">
        <v>341</v>
      </c>
      <c r="N10" s="578">
        <f>'Исход дан'!D$16</f>
        <v>6023.799999999999</v>
      </c>
      <c r="O10" s="695">
        <f>ROUND(H10/N10/12,2)</f>
        <v>0.04</v>
      </c>
    </row>
    <row r="11" spans="1:15" s="1" customFormat="1" ht="30" customHeight="1" thickBot="1">
      <c r="A11" s="378" t="s">
        <v>76</v>
      </c>
      <c r="B11" s="579" t="s">
        <v>151</v>
      </c>
      <c r="C11" s="580"/>
      <c r="D11" s="580"/>
      <c r="E11" s="580"/>
      <c r="F11" s="580"/>
      <c r="G11" s="581"/>
      <c r="H11" s="586">
        <f>SUM(H7:H10)</f>
        <v>336570.4511569492</v>
      </c>
      <c r="I11" s="582"/>
      <c r="J11" s="583"/>
      <c r="K11" s="583"/>
      <c r="L11" s="583"/>
      <c r="M11" s="584"/>
      <c r="N11" s="585">
        <f>'Исход дан'!D$16</f>
        <v>6023.799999999999</v>
      </c>
      <c r="O11" s="761">
        <f>ROUND(H11/N11/12,2)</f>
        <v>4.66</v>
      </c>
    </row>
    <row r="12" spans="1:15" s="4" customFormat="1" ht="15" customHeight="1">
      <c r="A12" s="121" t="s">
        <v>77</v>
      </c>
      <c r="B12" s="587" t="s">
        <v>177</v>
      </c>
      <c r="C12" s="588"/>
      <c r="D12" s="588"/>
      <c r="E12" s="744"/>
      <c r="F12" s="745"/>
      <c r="G12" s="74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18" t="s">
        <v>78</v>
      </c>
      <c r="B13" s="595" t="s">
        <v>173</v>
      </c>
      <c r="C13" s="596" t="s">
        <v>274</v>
      </c>
      <c r="D13" s="596"/>
      <c r="E13" s="747"/>
      <c r="F13" s="748"/>
      <c r="G13" s="749"/>
      <c r="H13" s="597"/>
      <c r="I13" s="598"/>
      <c r="J13" s="599"/>
      <c r="K13" s="599"/>
      <c r="L13" s="599"/>
      <c r="M13" s="600"/>
      <c r="N13" s="577">
        <f>'Исход дан'!D$16</f>
        <v>6023.799999999999</v>
      </c>
      <c r="O13" s="690">
        <f aca="true" t="shared" si="0" ref="O13:O19">ROUND(H13/N13/12,2)</f>
        <v>0</v>
      </c>
    </row>
    <row r="14" spans="1:15" s="62" customFormat="1" ht="15" customHeight="1">
      <c r="A14" s="118" t="s">
        <v>79</v>
      </c>
      <c r="B14" s="595" t="s">
        <v>174</v>
      </c>
      <c r="C14" s="596" t="s">
        <v>274</v>
      </c>
      <c r="D14" s="596"/>
      <c r="E14" s="747"/>
      <c r="F14" s="748"/>
      <c r="G14" s="749"/>
      <c r="H14" s="597"/>
      <c r="I14" s="598"/>
      <c r="J14" s="599"/>
      <c r="K14" s="599"/>
      <c r="L14" s="599"/>
      <c r="M14" s="600"/>
      <c r="N14" s="577">
        <f>'Исход дан'!D$16</f>
        <v>6023.799999999999</v>
      </c>
      <c r="O14" s="690">
        <f t="shared" si="0"/>
        <v>0</v>
      </c>
    </row>
    <row r="15" spans="1:15" s="62" customFormat="1" ht="15" customHeight="1">
      <c r="A15" s="118" t="s">
        <v>80</v>
      </c>
      <c r="B15" s="595" t="s">
        <v>175</v>
      </c>
      <c r="C15" s="596" t="s">
        <v>274</v>
      </c>
      <c r="D15" s="596"/>
      <c r="E15" s="747"/>
      <c r="F15" s="748"/>
      <c r="G15" s="749"/>
      <c r="H15" s="597"/>
      <c r="I15" s="598"/>
      <c r="J15" s="599"/>
      <c r="K15" s="599"/>
      <c r="L15" s="599"/>
      <c r="M15" s="600"/>
      <c r="N15" s="577">
        <f>'Исход дан'!D$16</f>
        <v>6023.799999999999</v>
      </c>
      <c r="O15" s="690">
        <f t="shared" si="0"/>
        <v>0</v>
      </c>
    </row>
    <row r="16" spans="1:15" s="62" customFormat="1" ht="15" customHeight="1" thickBot="1">
      <c r="A16" s="118" t="s">
        <v>81</v>
      </c>
      <c r="B16" s="595" t="s">
        <v>176</v>
      </c>
      <c r="C16" s="596" t="s">
        <v>274</v>
      </c>
      <c r="D16" s="596"/>
      <c r="E16" s="747"/>
      <c r="F16" s="748"/>
      <c r="G16" s="749"/>
      <c r="H16" s="597"/>
      <c r="I16" s="598"/>
      <c r="J16" s="599"/>
      <c r="K16" s="599"/>
      <c r="L16" s="599"/>
      <c r="M16" s="600"/>
      <c r="N16" s="578">
        <f>'Исход дан'!D$16</f>
        <v>6023.799999999999</v>
      </c>
      <c r="O16" s="695">
        <f t="shared" si="0"/>
        <v>0</v>
      </c>
    </row>
    <row r="17" spans="1:15" s="21" customFormat="1" ht="30" customHeight="1" thickBot="1">
      <c r="A17" s="350" t="s">
        <v>82</v>
      </c>
      <c r="B17" s="579" t="s">
        <v>329</v>
      </c>
      <c r="C17" s="580"/>
      <c r="D17" s="580"/>
      <c r="E17" s="601"/>
      <c r="F17" s="580"/>
      <c r="G17" s="581"/>
      <c r="H17" s="586">
        <f>SUM(H13:H16)</f>
        <v>0</v>
      </c>
      <c r="I17" s="602"/>
      <c r="J17" s="603"/>
      <c r="K17" s="603"/>
      <c r="L17" s="603"/>
      <c r="M17" s="604"/>
      <c r="N17" s="585">
        <f>'Исход дан'!D$16</f>
        <v>6023.799999999999</v>
      </c>
      <c r="O17" s="761">
        <f t="shared" si="0"/>
        <v>0</v>
      </c>
    </row>
    <row r="18" spans="1:15" s="112" customFormat="1" ht="15" customHeight="1">
      <c r="A18" s="121" t="s">
        <v>157</v>
      </c>
      <c r="B18" s="605" t="s">
        <v>84</v>
      </c>
      <c r="C18" s="606" t="s">
        <v>85</v>
      </c>
      <c r="D18" s="606" t="s">
        <v>321</v>
      </c>
      <c r="E18" s="607"/>
      <c r="F18" s="606"/>
      <c r="G18" s="608"/>
      <c r="H18" s="683">
        <v>5000</v>
      </c>
      <c r="I18" s="610"/>
      <c r="J18" s="611"/>
      <c r="K18" s="612"/>
      <c r="L18" s="611"/>
      <c r="M18" s="613"/>
      <c r="N18" s="593">
        <f>'Исход дан'!D$16</f>
        <v>6023.799999999999</v>
      </c>
      <c r="O18" s="696">
        <f t="shared" si="0"/>
        <v>0.07</v>
      </c>
    </row>
    <row r="19" spans="1:15" s="112" customFormat="1" ht="15" customHeight="1">
      <c r="A19" s="791" t="s">
        <v>83</v>
      </c>
      <c r="B19" s="595" t="s">
        <v>546</v>
      </c>
      <c r="C19" s="606" t="s">
        <v>85</v>
      </c>
      <c r="D19" s="606" t="s">
        <v>321</v>
      </c>
      <c r="E19" s="803"/>
      <c r="F19" s="596"/>
      <c r="G19" s="832"/>
      <c r="H19" s="609">
        <v>0</v>
      </c>
      <c r="I19" s="797"/>
      <c r="J19" s="798"/>
      <c r="K19" s="799"/>
      <c r="L19" s="798"/>
      <c r="M19" s="800"/>
      <c r="N19" s="593">
        <f>'Исход дан'!D$16</f>
        <v>6023.799999999999</v>
      </c>
      <c r="O19" s="696">
        <f t="shared" si="0"/>
        <v>0</v>
      </c>
    </row>
    <row r="20" spans="1:15" s="22" customFormat="1" ht="15.75" customHeight="1" thickBot="1">
      <c r="A20" s="791" t="s">
        <v>158</v>
      </c>
      <c r="B20" s="382" t="s">
        <v>430</v>
      </c>
      <c r="C20" s="577" t="s">
        <v>508</v>
      </c>
      <c r="D20" s="577" t="s">
        <v>427</v>
      </c>
      <c r="E20" s="804">
        <v>0.15</v>
      </c>
      <c r="F20" s="743">
        <f>'Исход дан'!D16</f>
        <v>6023.799999999999</v>
      </c>
      <c r="G20" s="750">
        <v>1</v>
      </c>
      <c r="H20" s="626">
        <f>E20*F20*G20*12</f>
        <v>10842.839999999998</v>
      </c>
      <c r="I20" s="617"/>
      <c r="J20" s="618"/>
      <c r="K20" s="619"/>
      <c r="L20" s="618"/>
      <c r="M20" s="620"/>
      <c r="N20" s="578">
        <f>'Исход дан'!D$16</f>
        <v>6023.799999999999</v>
      </c>
      <c r="O20" s="695">
        <f>ROUND(H20/N20/12,3)</f>
        <v>0.15</v>
      </c>
    </row>
    <row r="21" spans="1:15" s="21" customFormat="1" ht="28.5" customHeight="1" thickBot="1">
      <c r="A21" s="791" t="s">
        <v>159</v>
      </c>
      <c r="B21" s="808" t="s">
        <v>356</v>
      </c>
      <c r="C21" s="580"/>
      <c r="D21" s="580"/>
      <c r="E21" s="801"/>
      <c r="F21" s="801"/>
      <c r="G21" s="802"/>
      <c r="H21" s="586">
        <f>H18+H19+H20</f>
        <v>15842.839999999998</v>
      </c>
      <c r="I21" s="582"/>
      <c r="J21" s="583"/>
      <c r="K21" s="583"/>
      <c r="L21" s="583"/>
      <c r="M21" s="584"/>
      <c r="N21" s="585">
        <f>'Исход дан'!D$16</f>
        <v>6023.799999999999</v>
      </c>
      <c r="O21" s="761">
        <f aca="true" t="shared" si="1" ref="O21:O26">ROUND(H21/N21/12,2)</f>
        <v>0.22</v>
      </c>
    </row>
    <row r="22" spans="1:16" s="1" customFormat="1" ht="25.5" customHeight="1">
      <c r="A22" s="791" t="s">
        <v>160</v>
      </c>
      <c r="B22" s="621" t="s">
        <v>185</v>
      </c>
      <c r="C22" s="622"/>
      <c r="D22" s="593"/>
      <c r="E22" s="743" t="s">
        <v>341</v>
      </c>
      <c r="F22" s="743" t="s">
        <v>341</v>
      </c>
      <c r="G22" s="750" t="s">
        <v>341</v>
      </c>
      <c r="H22" s="683">
        <f>профраб!I24</f>
        <v>141514.91423616436</v>
      </c>
      <c r="I22" s="684"/>
      <c r="J22" s="685"/>
      <c r="K22" s="593"/>
      <c r="L22" s="685"/>
      <c r="M22" s="623"/>
      <c r="N22" s="593">
        <f>'Исход дан'!D$16</f>
        <v>6023.799999999999</v>
      </c>
      <c r="O22" s="696">
        <f t="shared" si="1"/>
        <v>1.96</v>
      </c>
      <c r="P22" s="436"/>
    </row>
    <row r="23" spans="1:16" s="1" customFormat="1" ht="25.5" customHeight="1">
      <c r="A23" s="791" t="s">
        <v>90</v>
      </c>
      <c r="B23" s="382" t="s">
        <v>186</v>
      </c>
      <c r="C23" s="615"/>
      <c r="D23" s="577"/>
      <c r="E23" s="743" t="s">
        <v>341</v>
      </c>
      <c r="F23" s="743" t="s">
        <v>341</v>
      </c>
      <c r="G23" s="750" t="s">
        <v>341</v>
      </c>
      <c r="H23" s="616">
        <f>профраб!I38</f>
        <v>42208.01959452055</v>
      </c>
      <c r="I23" s="686"/>
      <c r="J23" s="687"/>
      <c r="K23" s="577"/>
      <c r="L23" s="687"/>
      <c r="M23" s="624"/>
      <c r="N23" s="577">
        <f>'Исход дан'!D$16</f>
        <v>6023.799999999999</v>
      </c>
      <c r="O23" s="690">
        <f t="shared" si="1"/>
        <v>0.58</v>
      </c>
      <c r="P23" s="436"/>
    </row>
    <row r="24" spans="1:16" s="1" customFormat="1" ht="30" customHeight="1" thickBot="1">
      <c r="A24" s="791" t="s">
        <v>91</v>
      </c>
      <c r="B24" s="435" t="s">
        <v>429</v>
      </c>
      <c r="C24" s="625"/>
      <c r="D24" s="578"/>
      <c r="E24" s="625"/>
      <c r="F24" s="753"/>
      <c r="G24" s="754"/>
      <c r="H24" s="626"/>
      <c r="I24" s="688"/>
      <c r="J24" s="689"/>
      <c r="K24" s="578"/>
      <c r="L24" s="689"/>
      <c r="M24" s="627"/>
      <c r="N24" s="578">
        <f>'Исход дан'!D$16</f>
        <v>6023.799999999999</v>
      </c>
      <c r="O24" s="695">
        <f t="shared" si="1"/>
        <v>0</v>
      </c>
      <c r="P24" s="436"/>
    </row>
    <row r="25" spans="1:15" s="4" customFormat="1" ht="30" customHeight="1" thickBot="1">
      <c r="A25" s="791" t="s">
        <v>92</v>
      </c>
      <c r="B25" s="676" t="s">
        <v>439</v>
      </c>
      <c r="C25" s="580"/>
      <c r="D25" s="580"/>
      <c r="E25" s="580"/>
      <c r="F25" s="580"/>
      <c r="G25" s="581"/>
      <c r="H25" s="586">
        <f>SUM(H22:H24)</f>
        <v>183722.93383068492</v>
      </c>
      <c r="I25" s="582"/>
      <c r="J25" s="691"/>
      <c r="K25" s="583"/>
      <c r="L25" s="691"/>
      <c r="M25" s="677"/>
      <c r="N25" s="585">
        <f>'Исход дан'!D$16</f>
        <v>6023.799999999999</v>
      </c>
      <c r="O25" s="761">
        <f t="shared" si="1"/>
        <v>2.54</v>
      </c>
    </row>
    <row r="26" spans="1:15" s="4" customFormat="1" ht="39" customHeight="1">
      <c r="A26" s="791" t="s">
        <v>93</v>
      </c>
      <c r="B26" s="820" t="s">
        <v>568</v>
      </c>
      <c r="C26" s="441" t="s">
        <v>295</v>
      </c>
      <c r="D26" s="629"/>
      <c r="E26" s="755"/>
      <c r="F26" s="755"/>
      <c r="G26" s="756"/>
      <c r="H26" s="830">
        <v>35000</v>
      </c>
      <c r="I26" s="630"/>
      <c r="J26" s="631"/>
      <c r="K26" s="632"/>
      <c r="L26" s="631"/>
      <c r="M26" s="633"/>
      <c r="N26" s="593">
        <f>'Исход дан'!D$16</f>
        <v>6023.799999999999</v>
      </c>
      <c r="O26" s="789">
        <f t="shared" si="1"/>
        <v>0.48</v>
      </c>
    </row>
    <row r="27" spans="1:15" s="4" customFormat="1" ht="36.75" customHeight="1">
      <c r="A27" s="815" t="s">
        <v>94</v>
      </c>
      <c r="B27" s="621" t="s">
        <v>507</v>
      </c>
      <c r="C27" s="247"/>
      <c r="D27" s="816"/>
      <c r="E27" s="745"/>
      <c r="F27" s="745"/>
      <c r="G27" s="757"/>
      <c r="H27" s="692">
        <v>25000</v>
      </c>
      <c r="I27" s="634"/>
      <c r="J27" s="635"/>
      <c r="K27" s="636"/>
      <c r="L27" s="635"/>
      <c r="M27" s="565"/>
      <c r="N27" s="577">
        <f>'Исход дан'!D$16</f>
        <v>6023.799999999999</v>
      </c>
      <c r="O27" s="760">
        <f>H27/N27/12</f>
        <v>0.34585034917051255</v>
      </c>
    </row>
    <row r="28" spans="1:15" s="383" customFormat="1" ht="26.25" customHeight="1">
      <c r="A28" s="815" t="s">
        <v>95</v>
      </c>
      <c r="B28" s="382" t="s">
        <v>569</v>
      </c>
      <c r="C28" s="441" t="s">
        <v>295</v>
      </c>
      <c r="D28" s="816"/>
      <c r="E28" s="745"/>
      <c r="F28" s="745"/>
      <c r="G28" s="757"/>
      <c r="H28" s="692">
        <v>13163.2</v>
      </c>
      <c r="I28" s="634"/>
      <c r="J28" s="635"/>
      <c r="K28" s="636"/>
      <c r="L28" s="635"/>
      <c r="M28" s="565"/>
      <c r="N28" s="577">
        <f>'Исход дан'!D$16</f>
        <v>6023.799999999999</v>
      </c>
      <c r="O28" s="760">
        <f>H28/N28/12</f>
        <v>0.18209989264805163</v>
      </c>
    </row>
    <row r="29" spans="1:15" s="21" customFormat="1" ht="28.5" customHeight="1">
      <c r="A29" s="791" t="s">
        <v>96</v>
      </c>
      <c r="B29" s="382" t="s">
        <v>438</v>
      </c>
      <c r="C29" s="593"/>
      <c r="D29" s="577" t="s">
        <v>427</v>
      </c>
      <c r="E29" s="743"/>
      <c r="F29" s="743"/>
      <c r="G29" s="750"/>
      <c r="H29" s="692">
        <v>8775</v>
      </c>
      <c r="I29" s="637"/>
      <c r="J29" s="638"/>
      <c r="K29" s="639"/>
      <c r="L29" s="638"/>
      <c r="M29" s="640"/>
      <c r="N29" s="577">
        <f>'Исход дан'!D$16</f>
        <v>6023.799999999999</v>
      </c>
      <c r="O29" s="690">
        <f>ROUND(H29/N29/12,2)</f>
        <v>0.12</v>
      </c>
    </row>
    <row r="30" spans="1:15" s="21" customFormat="1" ht="92.25" customHeight="1">
      <c r="A30" s="791" t="s">
        <v>97</v>
      </c>
      <c r="B30" s="382" t="s">
        <v>570</v>
      </c>
      <c r="C30" s="622"/>
      <c r="D30" s="577" t="s">
        <v>427</v>
      </c>
      <c r="E30" s="743"/>
      <c r="F30" s="758"/>
      <c r="G30" s="759"/>
      <c r="H30" s="692">
        <v>145294</v>
      </c>
      <c r="I30" s="637"/>
      <c r="J30" s="638"/>
      <c r="K30" s="639"/>
      <c r="L30" s="638"/>
      <c r="M30" s="640"/>
      <c r="N30" s="577">
        <f>'Исход дан'!D$16</f>
        <v>6023.799999999999</v>
      </c>
      <c r="O30" s="690">
        <f>ROUND(H30/N30/12,2)</f>
        <v>2.01</v>
      </c>
    </row>
    <row r="31" spans="1:17" s="21" customFormat="1" ht="27" customHeight="1" thickBot="1">
      <c r="A31" s="791" t="s">
        <v>161</v>
      </c>
      <c r="B31" s="435" t="s">
        <v>437</v>
      </c>
      <c r="C31" s="641"/>
      <c r="D31" s="578" t="s">
        <v>427</v>
      </c>
      <c r="E31" s="751"/>
      <c r="F31" s="751"/>
      <c r="G31" s="752"/>
      <c r="H31" s="692">
        <v>114081</v>
      </c>
      <c r="I31" s="642"/>
      <c r="J31" s="643"/>
      <c r="K31" s="644"/>
      <c r="L31" s="643"/>
      <c r="M31" s="645"/>
      <c r="N31" s="577">
        <f>'Исход дан'!D$16</f>
        <v>6023.799999999999</v>
      </c>
      <c r="O31" s="690">
        <f>ROUND(H31/N31/12,2)</f>
        <v>1.58</v>
      </c>
      <c r="Q31" s="818"/>
    </row>
    <row r="32" spans="1:19" s="5" customFormat="1" ht="40.5" customHeight="1" thickBot="1">
      <c r="A32" s="791"/>
      <c r="B32" s="646" t="s">
        <v>191</v>
      </c>
      <c r="C32" s="647"/>
      <c r="D32" s="647" t="s">
        <v>58</v>
      </c>
      <c r="E32" s="647"/>
      <c r="F32" s="647"/>
      <c r="G32" s="648"/>
      <c r="H32" s="652">
        <f>H11+H17+H21+H25+H26+H28+H29+H30+H31+H27</f>
        <v>877449.4249876342</v>
      </c>
      <c r="I32" s="649"/>
      <c r="J32" s="650"/>
      <c r="K32" s="650"/>
      <c r="L32" s="650"/>
      <c r="M32" s="651"/>
      <c r="N32" s="628">
        <f>'Исход дан'!D$16</f>
        <v>6023.799999999999</v>
      </c>
      <c r="O32" s="810">
        <f>ROUND(H32/N32/12,2)</f>
        <v>12.14</v>
      </c>
      <c r="P32" s="381"/>
      <c r="Q32" s="790">
        <f>H7+H8+H10+H20+H22+H23+H26+H27+H28+H29+H30+H31+H19+H9+H18</f>
        <v>877449.4249876341</v>
      </c>
      <c r="S32" s="5">
        <f>Q32/6023.8/12</f>
        <v>12.138647600457546</v>
      </c>
    </row>
    <row r="33" spans="1:15" s="1" customFormat="1" ht="21" hidden="1">
      <c r="A33" s="121" t="s">
        <v>358</v>
      </c>
      <c r="B33" s="653" t="s">
        <v>178</v>
      </c>
      <c r="C33" s="606"/>
      <c r="D33" s="605"/>
      <c r="E33" s="606"/>
      <c r="F33" s="606"/>
      <c r="G33" s="606"/>
      <c r="H33" s="614"/>
      <c r="I33" s="654"/>
      <c r="J33" s="655"/>
      <c r="K33" s="656"/>
      <c r="L33" s="657"/>
      <c r="M33" s="658"/>
      <c r="N33" s="659"/>
      <c r="O33" s="660"/>
    </row>
    <row r="34" spans="1:15" s="5" customFormat="1" ht="21" hidden="1" thickBot="1">
      <c r="A34" s="121" t="s">
        <v>163</v>
      </c>
      <c r="B34" s="661" t="s">
        <v>179</v>
      </c>
      <c r="C34" s="662"/>
      <c r="D34" s="663"/>
      <c r="E34" s="664"/>
      <c r="F34" s="665"/>
      <c r="G34" s="665"/>
      <c r="H34" s="666"/>
      <c r="I34" s="667"/>
      <c r="J34" s="668"/>
      <c r="K34" s="669"/>
      <c r="L34" s="668"/>
      <c r="M34" s="670"/>
      <c r="N34" s="671"/>
      <c r="O34" s="672"/>
    </row>
    <row r="35" spans="2:15" ht="12.75">
      <c r="B35" s="673"/>
      <c r="C35" s="674"/>
      <c r="D35" s="674"/>
      <c r="E35" s="674"/>
      <c r="F35" s="674"/>
      <c r="G35" s="674"/>
      <c r="H35" s="674"/>
      <c r="I35" s="674"/>
      <c r="J35" s="675"/>
      <c r="K35" s="674"/>
      <c r="L35" s="675"/>
      <c r="M35" s="673"/>
      <c r="N35" s="674"/>
      <c r="O35" s="674"/>
    </row>
    <row r="36" spans="2:15" ht="12.75">
      <c r="B36" s="673"/>
      <c r="C36" s="674"/>
      <c r="D36" s="674"/>
      <c r="E36" s="674"/>
      <c r="F36" s="674"/>
      <c r="G36" s="674"/>
      <c r="H36" s="674"/>
      <c r="I36" s="674"/>
      <c r="J36" s="675"/>
      <c r="K36" s="674"/>
      <c r="L36" s="675"/>
      <c r="M36" s="673"/>
      <c r="N36" s="674"/>
      <c r="O36" s="674"/>
    </row>
    <row r="37" spans="2:15" ht="12.75">
      <c r="B37" s="673"/>
      <c r="C37" s="674"/>
      <c r="D37" s="674"/>
      <c r="E37" s="674"/>
      <c r="F37" s="674"/>
      <c r="G37" s="674"/>
      <c r="H37" s="778"/>
      <c r="I37" s="674"/>
      <c r="J37" s="675"/>
      <c r="K37" s="674"/>
      <c r="L37" s="675"/>
      <c r="M37" s="673"/>
      <c r="N37" s="674"/>
      <c r="O37" s="674"/>
    </row>
    <row r="38" ht="12.75">
      <c r="H38" s="780"/>
    </row>
    <row r="39" ht="12.75">
      <c r="Q39">
        <v>877547</v>
      </c>
    </row>
    <row r="41" spans="16:17" ht="12.75">
      <c r="P41" s="817"/>
      <c r="Q41">
        <v>12.14</v>
      </c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100" workbookViewId="0" topLeftCell="A91">
      <selection activeCell="C10" sqref="C10"/>
    </sheetView>
  </sheetViews>
  <sheetFormatPr defaultColWidth="9.125" defaultRowHeight="12.75"/>
  <cols>
    <col min="1" max="1" width="6.375" style="110" customWidth="1"/>
    <col min="2" max="2" width="53.375" style="31" customWidth="1"/>
    <col min="3" max="3" width="23.00390625" style="255" customWidth="1"/>
    <col min="4" max="4" width="13.375" style="255" bestFit="1" customWidth="1"/>
    <col min="5" max="5" width="14.375" style="255" customWidth="1"/>
    <col min="6" max="6" width="11.375" style="31" bestFit="1" customWidth="1"/>
    <col min="7" max="16384" width="9.125" style="31" customWidth="1"/>
  </cols>
  <sheetData>
    <row r="1" spans="1:5" ht="43.5" customHeight="1" thickBot="1">
      <c r="A1" s="868" t="s">
        <v>565</v>
      </c>
      <c r="B1" s="868"/>
      <c r="C1" s="868"/>
      <c r="D1" s="868"/>
      <c r="E1" s="868"/>
    </row>
    <row r="2" spans="1:5" ht="69.75" customHeight="1">
      <c r="A2" s="257" t="s">
        <v>198</v>
      </c>
      <c r="B2" s="261" t="s">
        <v>199</v>
      </c>
      <c r="C2" s="261" t="s">
        <v>200</v>
      </c>
      <c r="D2" s="250" t="s">
        <v>504</v>
      </c>
      <c r="E2" s="251" t="s">
        <v>503</v>
      </c>
    </row>
    <row r="3" spans="1:5" ht="20.25" customHeight="1">
      <c r="A3" s="766"/>
      <c r="B3" s="763" t="s">
        <v>304</v>
      </c>
      <c r="C3" s="762"/>
      <c r="D3" s="762"/>
      <c r="E3" s="767">
        <f>'Исход дан'!D16</f>
        <v>6023.799999999999</v>
      </c>
    </row>
    <row r="4" spans="1:5" ht="20.25" customHeight="1">
      <c r="A4" s="862" t="s">
        <v>385</v>
      </c>
      <c r="B4" s="863"/>
      <c r="C4" s="863"/>
      <c r="D4" s="863"/>
      <c r="E4" s="864"/>
    </row>
    <row r="5" spans="1:7" s="264" customFormat="1" ht="13.5">
      <c r="A5" s="355" t="s">
        <v>201</v>
      </c>
      <c r="B5" s="356" t="s">
        <v>202</v>
      </c>
      <c r="C5" s="263"/>
      <c r="D5" s="357">
        <f>'ВСЕ раб'!H7</f>
        <v>199968.339072</v>
      </c>
      <c r="E5" s="358">
        <f>ROUND(D5/E$3/12,2)</f>
        <v>2.77</v>
      </c>
      <c r="G5" s="347"/>
    </row>
    <row r="6" spans="1:7" ht="18" customHeight="1">
      <c r="A6" s="258" t="s">
        <v>203</v>
      </c>
      <c r="B6" s="252" t="s">
        <v>534</v>
      </c>
      <c r="C6" s="247" t="s">
        <v>204</v>
      </c>
      <c r="D6" s="256"/>
      <c r="E6" s="266"/>
      <c r="F6" s="264"/>
      <c r="G6" s="264"/>
    </row>
    <row r="7" spans="1:7" ht="24" customHeight="1">
      <c r="A7" s="258" t="s">
        <v>390</v>
      </c>
      <c r="B7" s="252" t="s">
        <v>535</v>
      </c>
      <c r="C7" s="247" t="s">
        <v>212</v>
      </c>
      <c r="D7" s="256"/>
      <c r="E7" s="266"/>
      <c r="F7" s="264"/>
      <c r="G7" s="264"/>
    </row>
    <row r="8" spans="1:7" ht="18" customHeight="1">
      <c r="A8" s="258" t="s">
        <v>391</v>
      </c>
      <c r="B8" s="252" t="s">
        <v>308</v>
      </c>
      <c r="C8" s="247" t="s">
        <v>206</v>
      </c>
      <c r="D8" s="256"/>
      <c r="E8" s="266"/>
      <c r="F8" s="264"/>
      <c r="G8" s="264"/>
    </row>
    <row r="9" spans="1:7" ht="16.5" customHeight="1">
      <c r="A9" s="258" t="s">
        <v>392</v>
      </c>
      <c r="B9" s="252" t="s">
        <v>207</v>
      </c>
      <c r="C9" s="247" t="s">
        <v>208</v>
      </c>
      <c r="D9" s="256"/>
      <c r="E9" s="266"/>
      <c r="F9" s="264"/>
      <c r="G9" s="264"/>
    </row>
    <row r="10" spans="1:7" ht="13.5" customHeight="1">
      <c r="A10" s="258" t="s">
        <v>393</v>
      </c>
      <c r="B10" s="252" t="s">
        <v>209</v>
      </c>
      <c r="C10" s="247" t="s">
        <v>208</v>
      </c>
      <c r="D10" s="256"/>
      <c r="E10" s="266"/>
      <c r="F10" s="264"/>
      <c r="G10" s="264"/>
    </row>
    <row r="11" spans="1:7" ht="38.25" customHeight="1">
      <c r="A11" s="258" t="s">
        <v>394</v>
      </c>
      <c r="B11" s="252" t="s">
        <v>210</v>
      </c>
      <c r="C11" s="247" t="s">
        <v>206</v>
      </c>
      <c r="D11" s="256"/>
      <c r="E11" s="266"/>
      <c r="F11" s="264"/>
      <c r="G11" s="264"/>
    </row>
    <row r="12" spans="1:7" ht="25.5" customHeight="1">
      <c r="A12" s="258" t="s">
        <v>536</v>
      </c>
      <c r="B12" s="252" t="s">
        <v>211</v>
      </c>
      <c r="C12" s="247" t="s">
        <v>212</v>
      </c>
      <c r="D12" s="256"/>
      <c r="E12" s="266"/>
      <c r="F12" s="264"/>
      <c r="G12" s="264"/>
    </row>
    <row r="13" spans="1:7" ht="20.25" customHeight="1">
      <c r="A13" s="258" t="s">
        <v>538</v>
      </c>
      <c r="B13" s="252" t="s">
        <v>539</v>
      </c>
      <c r="C13" s="247" t="s">
        <v>540</v>
      </c>
      <c r="D13" s="256"/>
      <c r="E13" s="266"/>
      <c r="F13" s="264"/>
      <c r="G13" s="264"/>
    </row>
    <row r="14" spans="1:7" ht="27.75" customHeight="1">
      <c r="A14" s="258" t="s">
        <v>541</v>
      </c>
      <c r="B14" s="252" t="s">
        <v>542</v>
      </c>
      <c r="C14" s="247" t="s">
        <v>205</v>
      </c>
      <c r="D14" s="256"/>
      <c r="E14" s="266"/>
      <c r="F14" s="264"/>
      <c r="G14" s="264"/>
    </row>
    <row r="15" spans="1:7" ht="19.5" customHeight="1">
      <c r="A15" s="258" t="s">
        <v>537</v>
      </c>
      <c r="B15" s="252" t="s">
        <v>403</v>
      </c>
      <c r="C15" s="247" t="s">
        <v>275</v>
      </c>
      <c r="D15" s="357">
        <f>'ВСЕ раб'!H9</f>
        <v>0</v>
      </c>
      <c r="E15" s="693">
        <f>D15/E$3/12</f>
        <v>0</v>
      </c>
      <c r="F15" s="264"/>
      <c r="G15" s="264"/>
    </row>
    <row r="16" spans="1:7" ht="21.75" customHeight="1">
      <c r="A16" s="862" t="s">
        <v>502</v>
      </c>
      <c r="B16" s="863"/>
      <c r="C16" s="863"/>
      <c r="D16" s="863"/>
      <c r="E16" s="864"/>
      <c r="F16" s="264"/>
      <c r="G16" s="264"/>
    </row>
    <row r="17" spans="1:7" s="264" customFormat="1" ht="15">
      <c r="A17" s="359" t="s">
        <v>395</v>
      </c>
      <c r="B17" s="356" t="s">
        <v>213</v>
      </c>
      <c r="C17" s="263"/>
      <c r="D17" s="357">
        <f>'ВСЕ раб'!H8</f>
        <v>134023.7920849492</v>
      </c>
      <c r="E17" s="358">
        <f>ROUND(D17/E$3/12,2)</f>
        <v>1.85</v>
      </c>
      <c r="F17" s="366"/>
      <c r="G17" s="347"/>
    </row>
    <row r="18" spans="1:7" s="262" customFormat="1" ht="19.5" customHeight="1">
      <c r="A18" s="359" t="s">
        <v>67</v>
      </c>
      <c r="B18" s="360" t="s">
        <v>214</v>
      </c>
      <c r="C18" s="361"/>
      <c r="D18" s="362"/>
      <c r="E18" s="363"/>
      <c r="F18" s="264"/>
      <c r="G18" s="264"/>
    </row>
    <row r="19" spans="1:7" ht="45.75" customHeight="1">
      <c r="A19" s="865" t="s">
        <v>215</v>
      </c>
      <c r="B19" s="252" t="s">
        <v>216</v>
      </c>
      <c r="C19" s="247" t="s">
        <v>217</v>
      </c>
      <c r="D19" s="866"/>
      <c r="E19" s="867"/>
      <c r="F19" s="264"/>
      <c r="G19" s="264"/>
    </row>
    <row r="20" spans="1:7" ht="22.5" customHeight="1">
      <c r="A20" s="865"/>
      <c r="B20" s="252" t="s">
        <v>219</v>
      </c>
      <c r="C20" s="247" t="s">
        <v>218</v>
      </c>
      <c r="D20" s="866"/>
      <c r="E20" s="867"/>
      <c r="F20" s="264"/>
      <c r="G20" s="264"/>
    </row>
    <row r="21" spans="1:7" ht="45" customHeight="1">
      <c r="A21" s="865" t="s">
        <v>220</v>
      </c>
      <c r="B21" s="252" t="s">
        <v>221</v>
      </c>
      <c r="C21" s="247" t="s">
        <v>222</v>
      </c>
      <c r="D21" s="866"/>
      <c r="E21" s="867"/>
      <c r="F21" s="264"/>
      <c r="G21" s="264"/>
    </row>
    <row r="22" spans="1:7" ht="26.25">
      <c r="A22" s="865"/>
      <c r="B22" s="252" t="s">
        <v>223</v>
      </c>
      <c r="C22" s="247" t="s">
        <v>305</v>
      </c>
      <c r="D22" s="866"/>
      <c r="E22" s="867"/>
      <c r="F22" s="264"/>
      <c r="G22" s="264"/>
    </row>
    <row r="23" spans="1:7" ht="26.25">
      <c r="A23" s="865"/>
      <c r="B23" s="252" t="s">
        <v>224</v>
      </c>
      <c r="C23" s="247" t="s">
        <v>306</v>
      </c>
      <c r="D23" s="866"/>
      <c r="E23" s="867"/>
      <c r="F23" s="264"/>
      <c r="G23" s="264"/>
    </row>
    <row r="24" spans="1:7" ht="26.25">
      <c r="A24" s="865" t="s">
        <v>225</v>
      </c>
      <c r="B24" s="252" t="s">
        <v>226</v>
      </c>
      <c r="C24" s="247" t="s">
        <v>227</v>
      </c>
      <c r="D24" s="866"/>
      <c r="E24" s="867"/>
      <c r="F24" s="264"/>
      <c r="G24" s="264"/>
    </row>
    <row r="25" spans="1:7" ht="30" customHeight="1">
      <c r="A25" s="865"/>
      <c r="B25" s="252" t="s">
        <v>229</v>
      </c>
      <c r="C25" s="247" t="s">
        <v>228</v>
      </c>
      <c r="D25" s="866"/>
      <c r="E25" s="867"/>
      <c r="F25" s="264"/>
      <c r="G25" s="264"/>
    </row>
    <row r="26" spans="1:7" ht="41.25" customHeight="1">
      <c r="A26" s="865" t="s">
        <v>230</v>
      </c>
      <c r="B26" s="252" t="s">
        <v>231</v>
      </c>
      <c r="C26" s="247" t="s">
        <v>307</v>
      </c>
      <c r="D26" s="866"/>
      <c r="E26" s="867"/>
      <c r="F26" s="264"/>
      <c r="G26" s="264"/>
    </row>
    <row r="27" spans="1:7" ht="30.75" customHeight="1">
      <c r="A27" s="865"/>
      <c r="B27" s="252" t="s">
        <v>229</v>
      </c>
      <c r="C27" s="247" t="s">
        <v>232</v>
      </c>
      <c r="D27" s="866"/>
      <c r="E27" s="867"/>
      <c r="F27" s="264"/>
      <c r="G27" s="264"/>
    </row>
    <row r="28" spans="1:7" ht="26.25">
      <c r="A28" s="865" t="s">
        <v>233</v>
      </c>
      <c r="B28" s="252" t="s">
        <v>234</v>
      </c>
      <c r="C28" s="247" t="s">
        <v>235</v>
      </c>
      <c r="D28" s="866"/>
      <c r="E28" s="867"/>
      <c r="F28" s="264"/>
      <c r="G28" s="264"/>
    </row>
    <row r="29" spans="1:7" ht="26.25">
      <c r="A29" s="865"/>
      <c r="B29" s="252" t="s">
        <v>237</v>
      </c>
      <c r="C29" s="247" t="s">
        <v>236</v>
      </c>
      <c r="D29" s="866"/>
      <c r="E29" s="867"/>
      <c r="F29" s="264"/>
      <c r="G29" s="264"/>
    </row>
    <row r="30" spans="1:7" ht="26.25">
      <c r="A30" s="865"/>
      <c r="B30" s="252" t="s">
        <v>224</v>
      </c>
      <c r="C30" s="247" t="s">
        <v>227</v>
      </c>
      <c r="D30" s="866"/>
      <c r="E30" s="867"/>
      <c r="F30" s="264"/>
      <c r="G30" s="264"/>
    </row>
    <row r="31" spans="1:7" ht="13.5">
      <c r="A31" s="865" t="s">
        <v>238</v>
      </c>
      <c r="B31" s="252" t="s">
        <v>239</v>
      </c>
      <c r="C31" s="247" t="s">
        <v>240</v>
      </c>
      <c r="D31" s="866"/>
      <c r="E31" s="867"/>
      <c r="F31" s="264"/>
      <c r="G31" s="264"/>
    </row>
    <row r="32" spans="1:7" ht="19.5" customHeight="1">
      <c r="A32" s="865"/>
      <c r="B32" s="252" t="s">
        <v>237</v>
      </c>
      <c r="C32" s="247" t="s">
        <v>241</v>
      </c>
      <c r="D32" s="866"/>
      <c r="E32" s="867"/>
      <c r="F32" s="264"/>
      <c r="G32" s="264"/>
    </row>
    <row r="33" spans="1:7" ht="22.5" customHeight="1">
      <c r="A33" s="865"/>
      <c r="B33" s="252" t="s">
        <v>224</v>
      </c>
      <c r="C33" s="247" t="s">
        <v>242</v>
      </c>
      <c r="D33" s="866"/>
      <c r="E33" s="867"/>
      <c r="F33" s="264"/>
      <c r="G33" s="264"/>
    </row>
    <row r="34" spans="1:7" ht="17.25" customHeight="1">
      <c r="A34" s="258" t="s">
        <v>243</v>
      </c>
      <c r="B34" s="252" t="s">
        <v>244</v>
      </c>
      <c r="C34" s="247" t="s">
        <v>206</v>
      </c>
      <c r="D34" s="256"/>
      <c r="E34" s="248"/>
      <c r="F34" s="264"/>
      <c r="G34" s="264"/>
    </row>
    <row r="35" spans="1:7" ht="20.25" customHeight="1">
      <c r="A35" s="258" t="s">
        <v>245</v>
      </c>
      <c r="B35" s="252" t="s">
        <v>246</v>
      </c>
      <c r="C35" s="247" t="s">
        <v>247</v>
      </c>
      <c r="D35" s="256"/>
      <c r="E35" s="248"/>
      <c r="F35" s="264"/>
      <c r="G35" s="264"/>
    </row>
    <row r="36" spans="1:7" ht="19.5" customHeight="1">
      <c r="A36" s="258" t="s">
        <v>296</v>
      </c>
      <c r="B36" s="252" t="s">
        <v>248</v>
      </c>
      <c r="C36" s="247" t="s">
        <v>247</v>
      </c>
      <c r="D36" s="256"/>
      <c r="E36" s="248"/>
      <c r="F36" s="264"/>
      <c r="G36" s="264"/>
    </row>
    <row r="37" spans="1:7" ht="13.5">
      <c r="A37" s="258" t="s">
        <v>297</v>
      </c>
      <c r="B37" s="252" t="s">
        <v>249</v>
      </c>
      <c r="C37" s="247" t="s">
        <v>204</v>
      </c>
      <c r="D37" s="256"/>
      <c r="E37" s="248"/>
      <c r="F37" s="264"/>
      <c r="G37" s="264"/>
    </row>
    <row r="38" spans="1:7" s="262" customFormat="1" ht="19.5" customHeight="1">
      <c r="A38" s="359" t="s">
        <v>68</v>
      </c>
      <c r="B38" s="360" t="s">
        <v>250</v>
      </c>
      <c r="C38" s="361"/>
      <c r="D38" s="362"/>
      <c r="E38" s="363"/>
      <c r="F38" s="264"/>
      <c r="G38" s="264"/>
    </row>
    <row r="39" spans="1:7" ht="24.75" customHeight="1">
      <c r="A39" s="865" t="s">
        <v>517</v>
      </c>
      <c r="B39" s="252" t="s">
        <v>251</v>
      </c>
      <c r="C39" s="247" t="s">
        <v>241</v>
      </c>
      <c r="D39" s="866"/>
      <c r="E39" s="867"/>
      <c r="F39" s="264"/>
      <c r="G39" s="264"/>
    </row>
    <row r="40" spans="1:7" ht="19.5" customHeight="1">
      <c r="A40" s="865"/>
      <c r="B40" s="252" t="s">
        <v>237</v>
      </c>
      <c r="C40" s="247" t="s">
        <v>242</v>
      </c>
      <c r="D40" s="866"/>
      <c r="E40" s="867"/>
      <c r="F40" s="264"/>
      <c r="G40" s="264"/>
    </row>
    <row r="41" spans="1:7" ht="19.5" customHeight="1">
      <c r="A41" s="865"/>
      <c r="B41" s="252" t="s">
        <v>224</v>
      </c>
      <c r="C41" s="247" t="s">
        <v>252</v>
      </c>
      <c r="D41" s="866"/>
      <c r="E41" s="867"/>
      <c r="F41" s="264"/>
      <c r="G41" s="264"/>
    </row>
    <row r="42" spans="1:7" ht="24.75" customHeight="1">
      <c r="A42" s="865" t="s">
        <v>253</v>
      </c>
      <c r="B42" s="252" t="s">
        <v>254</v>
      </c>
      <c r="C42" s="247" t="s">
        <v>255</v>
      </c>
      <c r="D42" s="866"/>
      <c r="E42" s="867"/>
      <c r="F42" s="264"/>
      <c r="G42" s="264"/>
    </row>
    <row r="43" spans="1:7" ht="26.25">
      <c r="A43" s="865"/>
      <c r="B43" s="252" t="s">
        <v>237</v>
      </c>
      <c r="C43" s="247" t="s">
        <v>256</v>
      </c>
      <c r="D43" s="866"/>
      <c r="E43" s="867"/>
      <c r="F43" s="264"/>
      <c r="G43" s="264"/>
    </row>
    <row r="44" spans="1:7" ht="28.5" customHeight="1">
      <c r="A44" s="865"/>
      <c r="B44" s="252" t="s">
        <v>224</v>
      </c>
      <c r="C44" s="247" t="s">
        <v>298</v>
      </c>
      <c r="D44" s="866"/>
      <c r="E44" s="867"/>
      <c r="F44" s="264"/>
      <c r="G44" s="264"/>
    </row>
    <row r="45" spans="1:7" ht="41.25" customHeight="1">
      <c r="A45" s="865" t="s">
        <v>257</v>
      </c>
      <c r="B45" s="252" t="s">
        <v>258</v>
      </c>
      <c r="C45" s="247" t="s">
        <v>259</v>
      </c>
      <c r="D45" s="866"/>
      <c r="E45" s="867"/>
      <c r="F45" s="264"/>
      <c r="G45" s="264"/>
    </row>
    <row r="46" spans="1:7" ht="30" customHeight="1">
      <c r="A46" s="865"/>
      <c r="B46" s="252" t="s">
        <v>261</v>
      </c>
      <c r="C46" s="247" t="s">
        <v>260</v>
      </c>
      <c r="D46" s="866"/>
      <c r="E46" s="867"/>
      <c r="F46" s="264"/>
      <c r="G46" s="264"/>
    </row>
    <row r="47" spans="1:7" ht="23.25" customHeight="1">
      <c r="A47" s="258" t="s">
        <v>299</v>
      </c>
      <c r="B47" s="252" t="s">
        <v>262</v>
      </c>
      <c r="C47" s="247" t="s">
        <v>242</v>
      </c>
      <c r="D47" s="256"/>
      <c r="E47" s="248"/>
      <c r="F47" s="264"/>
      <c r="G47" s="264"/>
    </row>
    <row r="48" spans="1:7" ht="17.25" customHeight="1">
      <c r="A48" s="258" t="s">
        <v>300</v>
      </c>
      <c r="B48" s="252" t="s">
        <v>244</v>
      </c>
      <c r="C48" s="247" t="s">
        <v>205</v>
      </c>
      <c r="D48" s="256"/>
      <c r="E48" s="248"/>
      <c r="F48" s="264"/>
      <c r="G48" s="264"/>
    </row>
    <row r="49" spans="1:7" ht="18.75" customHeight="1">
      <c r="A49" s="258" t="s">
        <v>301</v>
      </c>
      <c r="B49" s="252" t="s">
        <v>246</v>
      </c>
      <c r="C49" s="247" t="s">
        <v>263</v>
      </c>
      <c r="D49" s="256"/>
      <c r="E49" s="248"/>
      <c r="F49" s="264"/>
      <c r="G49" s="264"/>
    </row>
    <row r="50" spans="1:7" ht="19.5" customHeight="1">
      <c r="A50" s="258" t="s">
        <v>302</v>
      </c>
      <c r="B50" s="252" t="s">
        <v>248</v>
      </c>
      <c r="C50" s="247" t="s">
        <v>263</v>
      </c>
      <c r="D50" s="256"/>
      <c r="E50" s="248"/>
      <c r="F50" s="264"/>
      <c r="G50" s="264"/>
    </row>
    <row r="51" spans="1:7" ht="13.5">
      <c r="A51" s="258" t="s">
        <v>264</v>
      </c>
      <c r="B51" s="252" t="s">
        <v>265</v>
      </c>
      <c r="C51" s="247" t="s">
        <v>266</v>
      </c>
      <c r="D51" s="256"/>
      <c r="E51" s="248"/>
      <c r="F51" s="264"/>
      <c r="G51" s="264"/>
    </row>
    <row r="52" spans="1:7" ht="26.25">
      <c r="A52" s="258" t="s">
        <v>267</v>
      </c>
      <c r="B52" s="252" t="s">
        <v>268</v>
      </c>
      <c r="C52" s="247" t="s">
        <v>269</v>
      </c>
      <c r="D52" s="256"/>
      <c r="E52" s="248"/>
      <c r="F52" s="264"/>
      <c r="G52" s="264"/>
    </row>
    <row r="53" spans="1:7" ht="13.5">
      <c r="A53" s="258" t="s">
        <v>270</v>
      </c>
      <c r="B53" s="252" t="s">
        <v>271</v>
      </c>
      <c r="C53" s="247" t="s">
        <v>272</v>
      </c>
      <c r="D53" s="256"/>
      <c r="E53" s="248"/>
      <c r="F53" s="264"/>
      <c r="G53" s="264"/>
    </row>
    <row r="54" spans="1:7" ht="20.25" customHeight="1">
      <c r="A54" s="258" t="s">
        <v>303</v>
      </c>
      <c r="B54" s="252" t="s">
        <v>249</v>
      </c>
      <c r="C54" s="247" t="s">
        <v>204</v>
      </c>
      <c r="D54" s="256"/>
      <c r="E54" s="248"/>
      <c r="F54" s="264"/>
      <c r="G54" s="264"/>
    </row>
    <row r="55" spans="1:7" s="265" customFormat="1" ht="25.5" customHeight="1">
      <c r="A55" s="258" t="s">
        <v>69</v>
      </c>
      <c r="B55" s="382" t="s">
        <v>413</v>
      </c>
      <c r="C55" s="247" t="s">
        <v>275</v>
      </c>
      <c r="D55" s="357">
        <f>'ВСЕ раб'!H10</f>
        <v>2578.32</v>
      </c>
      <c r="E55" s="358">
        <f>ROUND(D55/E$3/12,2)</f>
        <v>0.04</v>
      </c>
      <c r="F55" s="264"/>
      <c r="G55" s="347"/>
    </row>
    <row r="56" spans="1:7" s="265" customFormat="1" ht="18" customHeight="1">
      <c r="A56" s="258" t="s">
        <v>518</v>
      </c>
      <c r="B56" s="764" t="s">
        <v>499</v>
      </c>
      <c r="C56" s="247" t="s">
        <v>275</v>
      </c>
      <c r="D56" s="357">
        <f>'ВСЕ раб'!H20</f>
        <v>10842.839999999998</v>
      </c>
      <c r="E56" s="358">
        <f>D56/E$3/12</f>
        <v>0.15</v>
      </c>
      <c r="F56" s="264"/>
      <c r="G56" s="347"/>
    </row>
    <row r="57" spans="1:7" s="265" customFormat="1" ht="21.75" customHeight="1">
      <c r="A57" s="862" t="s">
        <v>386</v>
      </c>
      <c r="B57" s="863"/>
      <c r="C57" s="863"/>
      <c r="D57" s="863"/>
      <c r="E57" s="864"/>
      <c r="F57" s="264"/>
      <c r="G57" s="347"/>
    </row>
    <row r="58" spans="1:7" ht="26.25">
      <c r="A58" s="258" t="s">
        <v>70</v>
      </c>
      <c r="B58" s="252" t="s">
        <v>294</v>
      </c>
      <c r="C58" s="247" t="s">
        <v>274</v>
      </c>
      <c r="D58" s="357">
        <f>профраб!I10</f>
        <v>4189.610082191782</v>
      </c>
      <c r="E58" s="358">
        <f aca="true" t="shared" si="0" ref="E58:E66">ROUND(D58/E$3/12,2)</f>
        <v>0.06</v>
      </c>
      <c r="F58" s="264"/>
      <c r="G58" s="347"/>
    </row>
    <row r="59" spans="1:7" ht="19.5" customHeight="1">
      <c r="A59" s="258" t="s">
        <v>71</v>
      </c>
      <c r="B59" s="252" t="s">
        <v>278</v>
      </c>
      <c r="C59" s="247" t="s">
        <v>290</v>
      </c>
      <c r="D59" s="357">
        <f>профраб!I11+профраб!I12</f>
        <v>0</v>
      </c>
      <c r="E59" s="358">
        <f t="shared" si="0"/>
        <v>0</v>
      </c>
      <c r="F59" s="264"/>
      <c r="G59" s="347"/>
    </row>
    <row r="60" spans="1:7" ht="18.75" customHeight="1">
      <c r="A60" s="258" t="s">
        <v>72</v>
      </c>
      <c r="B60" s="252" t="s">
        <v>500</v>
      </c>
      <c r="C60" s="247" t="s">
        <v>290</v>
      </c>
      <c r="D60" s="357">
        <f>профраб!I13</f>
        <v>12344.38684931507</v>
      </c>
      <c r="E60" s="358">
        <f t="shared" si="0"/>
        <v>0.17</v>
      </c>
      <c r="F60" s="264"/>
      <c r="G60" s="347"/>
    </row>
    <row r="61" spans="1:7" ht="33.75" customHeight="1">
      <c r="A61" s="258" t="s">
        <v>396</v>
      </c>
      <c r="B61" s="252" t="s">
        <v>293</v>
      </c>
      <c r="C61" s="247" t="s">
        <v>274</v>
      </c>
      <c r="D61" s="357">
        <f>профраб!I14</f>
        <v>3890.352219178082</v>
      </c>
      <c r="E61" s="358">
        <f t="shared" si="0"/>
        <v>0.05</v>
      </c>
      <c r="F61" s="264"/>
      <c r="G61" s="347"/>
    </row>
    <row r="62" spans="1:7" ht="23.25" customHeight="1">
      <c r="A62" s="258" t="s">
        <v>397</v>
      </c>
      <c r="B62" s="252" t="s">
        <v>289</v>
      </c>
      <c r="C62" s="247" t="s">
        <v>274</v>
      </c>
      <c r="D62" s="357">
        <f>профраб!I15</f>
        <v>39697.778457534245</v>
      </c>
      <c r="E62" s="358">
        <f t="shared" si="0"/>
        <v>0.55</v>
      </c>
      <c r="F62" s="264"/>
      <c r="G62" s="347"/>
    </row>
    <row r="63" spans="1:7" ht="31.5" customHeight="1">
      <c r="A63" s="258" t="s">
        <v>398</v>
      </c>
      <c r="B63" s="252" t="s">
        <v>291</v>
      </c>
      <c r="C63" s="247" t="s">
        <v>274</v>
      </c>
      <c r="D63" s="357">
        <f>профраб!I16</f>
        <v>25923.212383561644</v>
      </c>
      <c r="E63" s="694">
        <f t="shared" si="0"/>
        <v>0.36</v>
      </c>
      <c r="F63" s="264"/>
      <c r="G63" s="347"/>
    </row>
    <row r="64" spans="1:7" ht="13.5">
      <c r="A64" s="258" t="s">
        <v>519</v>
      </c>
      <c r="B64" s="252" t="s">
        <v>279</v>
      </c>
      <c r="C64" s="247" t="s">
        <v>274</v>
      </c>
      <c r="D64" s="357">
        <f>профраб!I17</f>
        <v>25364.98136986301</v>
      </c>
      <c r="E64" s="358">
        <f t="shared" si="0"/>
        <v>0.35</v>
      </c>
      <c r="F64" s="264"/>
      <c r="G64" s="347"/>
    </row>
    <row r="65" spans="1:7" s="265" customFormat="1" ht="21.75" customHeight="1">
      <c r="A65" s="862" t="s">
        <v>387</v>
      </c>
      <c r="B65" s="863"/>
      <c r="C65" s="863"/>
      <c r="D65" s="863"/>
      <c r="E65" s="864"/>
      <c r="F65" s="264"/>
      <c r="G65" s="347"/>
    </row>
    <row r="66" spans="1:7" s="264" customFormat="1" ht="30.75" customHeight="1">
      <c r="A66" s="258" t="s">
        <v>399</v>
      </c>
      <c r="B66" s="252" t="s">
        <v>273</v>
      </c>
      <c r="C66" s="247" t="s">
        <v>172</v>
      </c>
      <c r="D66" s="357">
        <f>'ВСЕ раб'!H17</f>
        <v>0</v>
      </c>
      <c r="E66" s="358">
        <f t="shared" si="0"/>
        <v>0</v>
      </c>
      <c r="G66" s="347"/>
    </row>
    <row r="67" spans="1:7" s="264" customFormat="1" ht="17.25" customHeight="1">
      <c r="A67" s="258" t="s">
        <v>400</v>
      </c>
      <c r="B67" s="252" t="s">
        <v>194</v>
      </c>
      <c r="C67" s="247" t="s">
        <v>274</v>
      </c>
      <c r="D67" s="794">
        <f>'ВСЕ раб'!H18</f>
        <v>5000</v>
      </c>
      <c r="E67" s="693">
        <f>D67/E$3/12</f>
        <v>0.06917006983410251</v>
      </c>
      <c r="G67" s="347"/>
    </row>
    <row r="68" spans="1:7" s="264" customFormat="1" ht="17.25" customHeight="1">
      <c r="A68" s="258" t="s">
        <v>548</v>
      </c>
      <c r="B68" s="252" t="s">
        <v>546</v>
      </c>
      <c r="C68" s="247"/>
      <c r="D68" s="794">
        <f>'ВСЕ раб'!H19</f>
        <v>0</v>
      </c>
      <c r="E68" s="693">
        <f>D68/E$3/12</f>
        <v>0</v>
      </c>
      <c r="G68" s="347"/>
    </row>
    <row r="69" spans="1:7" s="39" customFormat="1" ht="30" customHeight="1">
      <c r="A69" s="355" t="s">
        <v>520</v>
      </c>
      <c r="B69" s="356" t="s">
        <v>288</v>
      </c>
      <c r="C69" s="765"/>
      <c r="D69" s="796"/>
      <c r="E69" s="768"/>
      <c r="F69" s="365"/>
      <c r="G69" s="364"/>
    </row>
    <row r="70" spans="1:7" ht="33.75" customHeight="1">
      <c r="A70" s="258" t="s">
        <v>549</v>
      </c>
      <c r="B70" s="252" t="s">
        <v>287</v>
      </c>
      <c r="C70" s="247" t="s">
        <v>274</v>
      </c>
      <c r="D70" s="794">
        <f>профраб!I28</f>
        <v>0</v>
      </c>
      <c r="E70" s="358">
        <f aca="true" t="shared" si="1" ref="E70:E88">ROUND(D70/E$3/12,2)</f>
        <v>0</v>
      </c>
      <c r="F70" s="264"/>
      <c r="G70" s="347"/>
    </row>
    <row r="71" spans="1:7" ht="33.75" customHeight="1">
      <c r="A71" s="258" t="s">
        <v>545</v>
      </c>
      <c r="B71" s="252" t="s">
        <v>283</v>
      </c>
      <c r="C71" s="247" t="s">
        <v>363</v>
      </c>
      <c r="D71" s="794">
        <f>профраб!I29</f>
        <v>8902.518577534245</v>
      </c>
      <c r="E71" s="358">
        <f t="shared" si="1"/>
        <v>0.12</v>
      </c>
      <c r="F71" s="264"/>
      <c r="G71" s="347"/>
    </row>
    <row r="72" spans="1:7" ht="33.75" customHeight="1">
      <c r="A72" s="258" t="s">
        <v>550</v>
      </c>
      <c r="B72" s="252" t="s">
        <v>544</v>
      </c>
      <c r="C72" s="247" t="s">
        <v>274</v>
      </c>
      <c r="D72" s="794">
        <f>профраб!I30</f>
        <v>1271.788368219178</v>
      </c>
      <c r="E72" s="358">
        <f t="shared" si="1"/>
        <v>0.02</v>
      </c>
      <c r="F72" s="264"/>
      <c r="G72" s="347"/>
    </row>
    <row r="73" spans="1:7" ht="39.75" customHeight="1">
      <c r="A73" s="258" t="s">
        <v>551</v>
      </c>
      <c r="B73" s="252" t="s">
        <v>277</v>
      </c>
      <c r="C73" s="247" t="s">
        <v>274</v>
      </c>
      <c r="D73" s="794">
        <f>профраб!I31</f>
        <v>0</v>
      </c>
      <c r="E73" s="358">
        <f t="shared" si="1"/>
        <v>0</v>
      </c>
      <c r="F73" s="264"/>
      <c r="G73" s="347"/>
    </row>
    <row r="74" spans="1:7" ht="33.75" customHeight="1">
      <c r="A74" s="258" t="s">
        <v>552</v>
      </c>
      <c r="B74" s="252" t="s">
        <v>384</v>
      </c>
      <c r="C74" s="247" t="s">
        <v>276</v>
      </c>
      <c r="D74" s="794">
        <f>профраб!I32+профраб!I33</f>
        <v>18941.641538630138</v>
      </c>
      <c r="E74" s="358">
        <f t="shared" si="1"/>
        <v>0.26</v>
      </c>
      <c r="F74" s="264"/>
      <c r="G74" s="347"/>
    </row>
    <row r="75" spans="1:7" ht="27.75" customHeight="1">
      <c r="A75" s="258" t="s">
        <v>553</v>
      </c>
      <c r="B75" s="252" t="s">
        <v>285</v>
      </c>
      <c r="C75" s="247" t="s">
        <v>172</v>
      </c>
      <c r="D75" s="794">
        <f>профраб!I34</f>
        <v>1191.276493150685</v>
      </c>
      <c r="E75" s="358">
        <f t="shared" si="1"/>
        <v>0.02</v>
      </c>
      <c r="F75" s="264"/>
      <c r="G75" s="347"/>
    </row>
    <row r="76" spans="1:7" ht="42" customHeight="1">
      <c r="A76" s="258" t="s">
        <v>554</v>
      </c>
      <c r="B76" s="252" t="s">
        <v>284</v>
      </c>
      <c r="C76" s="247" t="s">
        <v>276</v>
      </c>
      <c r="D76" s="794">
        <f>профраб!I35</f>
        <v>1726.4876712328764</v>
      </c>
      <c r="E76" s="358">
        <f t="shared" si="1"/>
        <v>0.02</v>
      </c>
      <c r="F76" s="264"/>
      <c r="G76" s="347"/>
    </row>
    <row r="77" spans="1:7" ht="25.5" customHeight="1">
      <c r="A77" s="258" t="s">
        <v>555</v>
      </c>
      <c r="B77" s="252" t="s">
        <v>414</v>
      </c>
      <c r="C77" s="247" t="s">
        <v>172</v>
      </c>
      <c r="D77" s="794">
        <f>профраб!I36</f>
        <v>0</v>
      </c>
      <c r="E77" s="358">
        <f t="shared" si="1"/>
        <v>0</v>
      </c>
      <c r="F77" s="264"/>
      <c r="G77" s="347"/>
    </row>
    <row r="78" spans="1:7" ht="29.25" customHeight="1">
      <c r="A78" s="258" t="s">
        <v>556</v>
      </c>
      <c r="B78" s="252" t="s">
        <v>286</v>
      </c>
      <c r="C78" s="247" t="s">
        <v>172</v>
      </c>
      <c r="D78" s="794">
        <f>профраб!I37</f>
        <v>10174.306945753424</v>
      </c>
      <c r="E78" s="358">
        <f t="shared" si="1"/>
        <v>0.14</v>
      </c>
      <c r="F78" s="264"/>
      <c r="G78" s="347"/>
    </row>
    <row r="79" spans="1:7" s="39" customFormat="1" ht="24.75" customHeight="1">
      <c r="A79" s="355" t="s">
        <v>557</v>
      </c>
      <c r="B79" s="356" t="s">
        <v>389</v>
      </c>
      <c r="C79" s="773"/>
      <c r="D79" s="796"/>
      <c r="E79" s="358"/>
      <c r="G79" s="364"/>
    </row>
    <row r="80" spans="1:7" s="39" customFormat="1" ht="38.25" customHeight="1">
      <c r="A80" s="258" t="s">
        <v>558</v>
      </c>
      <c r="B80" s="252" t="str">
        <f>'[1]Проф раб'!C7</f>
        <v>Очистка техэтажей от мусора со сбором его в тару и отноской в установленное место</v>
      </c>
      <c r="C80" s="247" t="s">
        <v>274</v>
      </c>
      <c r="D80" s="794">
        <f>профраб!I7</f>
        <v>1601.6626126027397</v>
      </c>
      <c r="E80" s="358">
        <f t="shared" si="1"/>
        <v>0.02</v>
      </c>
      <c r="G80" s="364"/>
    </row>
    <row r="81" spans="1:7" ht="21.75" customHeight="1">
      <c r="A81" s="258" t="s">
        <v>559</v>
      </c>
      <c r="B81" s="252" t="s">
        <v>168</v>
      </c>
      <c r="C81" s="247" t="s">
        <v>274</v>
      </c>
      <c r="D81" s="794">
        <f>профраб!I8</f>
        <v>675.4019769863014</v>
      </c>
      <c r="E81" s="358">
        <f t="shared" si="1"/>
        <v>0.01</v>
      </c>
      <c r="F81" s="264"/>
      <c r="G81" s="347"/>
    </row>
    <row r="82" spans="1:7" ht="21" customHeight="1">
      <c r="A82" s="258" t="s">
        <v>560</v>
      </c>
      <c r="B82" s="252" t="s">
        <v>169</v>
      </c>
      <c r="C82" s="247" t="s">
        <v>274</v>
      </c>
      <c r="D82" s="794">
        <f>профраб!I9</f>
        <v>4502.679846575343</v>
      </c>
      <c r="E82" s="358">
        <f t="shared" si="1"/>
        <v>0.06</v>
      </c>
      <c r="F82" s="264"/>
      <c r="G82" s="347"/>
    </row>
    <row r="83" spans="1:7" ht="26.25">
      <c r="A83" s="258" t="s">
        <v>561</v>
      </c>
      <c r="B83" s="252" t="s">
        <v>115</v>
      </c>
      <c r="C83" s="247" t="s">
        <v>208</v>
      </c>
      <c r="D83" s="794">
        <f>профраб!I18</f>
        <v>7009.539945205478</v>
      </c>
      <c r="E83" s="693">
        <f t="shared" si="1"/>
        <v>0.1</v>
      </c>
      <c r="F83" s="264"/>
      <c r="G83" s="347"/>
    </row>
    <row r="84" spans="1:7" ht="16.5" customHeight="1">
      <c r="A84" s="258" t="s">
        <v>562</v>
      </c>
      <c r="B84" s="252" t="s">
        <v>120</v>
      </c>
      <c r="C84" s="247" t="s">
        <v>274</v>
      </c>
      <c r="D84" s="794">
        <f>профраб!I19</f>
        <v>13984.550136986301</v>
      </c>
      <c r="E84" s="358">
        <f t="shared" si="1"/>
        <v>0.19</v>
      </c>
      <c r="F84" s="264"/>
      <c r="G84" s="347"/>
    </row>
    <row r="85" spans="1:7" ht="18.75" customHeight="1">
      <c r="A85" s="258" t="s">
        <v>563</v>
      </c>
      <c r="B85" s="252" t="s">
        <v>292</v>
      </c>
      <c r="C85" s="247" t="s">
        <v>274</v>
      </c>
      <c r="D85" s="794">
        <f>профраб!I20</f>
        <v>2330.7583561643837</v>
      </c>
      <c r="E85" s="358">
        <f t="shared" si="1"/>
        <v>0.03</v>
      </c>
      <c r="F85" s="264"/>
      <c r="G85" s="347"/>
    </row>
    <row r="86" spans="1:7" ht="29.25" customHeight="1">
      <c r="A86" s="258" t="s">
        <v>564</v>
      </c>
      <c r="B86" s="252" t="s">
        <v>404</v>
      </c>
      <c r="C86" s="247" t="s">
        <v>274</v>
      </c>
      <c r="D86" s="357"/>
      <c r="E86" s="358">
        <f t="shared" si="1"/>
        <v>0</v>
      </c>
      <c r="F86" s="264"/>
      <c r="G86" s="347"/>
    </row>
    <row r="87" spans="1:7" s="265" customFormat="1" ht="21" customHeight="1">
      <c r="A87" s="862" t="s">
        <v>388</v>
      </c>
      <c r="B87" s="863"/>
      <c r="C87" s="863"/>
      <c r="D87" s="863"/>
      <c r="E87" s="864"/>
      <c r="F87" s="264"/>
      <c r="G87" s="347"/>
    </row>
    <row r="88" spans="1:7" s="787" customFormat="1" ht="29.25" customHeight="1">
      <c r="A88" s="258" t="s">
        <v>524</v>
      </c>
      <c r="B88" s="820" t="s">
        <v>568</v>
      </c>
      <c r="C88" s="247" t="s">
        <v>295</v>
      </c>
      <c r="D88" s="256">
        <f>'ВСЕ раб'!H26</f>
        <v>35000</v>
      </c>
      <c r="E88" s="358">
        <f t="shared" si="1"/>
        <v>0.48</v>
      </c>
      <c r="G88" s="788"/>
    </row>
    <row r="89" spans="1:7" s="264" customFormat="1" ht="26.25" customHeight="1">
      <c r="A89" s="258" t="s">
        <v>509</v>
      </c>
      <c r="B89" s="621" t="s">
        <v>507</v>
      </c>
      <c r="C89" s="247"/>
      <c r="D89" s="256">
        <f>'ВСЕ раб'!H27</f>
        <v>25000</v>
      </c>
      <c r="E89" s="358">
        <f aca="true" t="shared" si="2" ref="E89:E94">ROUND(D89/E$3/12,2)</f>
        <v>0.35</v>
      </c>
      <c r="G89" s="347"/>
    </row>
    <row r="90" spans="1:7" s="264" customFormat="1" ht="13.5">
      <c r="A90" s="258" t="s">
        <v>525</v>
      </c>
      <c r="B90" s="382" t="s">
        <v>569</v>
      </c>
      <c r="C90" s="247" t="s">
        <v>571</v>
      </c>
      <c r="D90" s="256">
        <f>'ВСЕ раб'!H28</f>
        <v>13163.2</v>
      </c>
      <c r="E90" s="358">
        <f t="shared" si="2"/>
        <v>0.18</v>
      </c>
      <c r="G90" s="347"/>
    </row>
    <row r="91" spans="1:7" s="265" customFormat="1" ht="21.75" customHeight="1">
      <c r="A91" s="792" t="s">
        <v>526</v>
      </c>
      <c r="B91" s="382" t="s">
        <v>438</v>
      </c>
      <c r="C91" s="793" t="s">
        <v>275</v>
      </c>
      <c r="D91" s="256">
        <f>'ВСЕ раб'!H29</f>
        <v>8775</v>
      </c>
      <c r="E91" s="795">
        <f t="shared" si="2"/>
        <v>0.12</v>
      </c>
      <c r="F91" s="264"/>
      <c r="G91" s="347"/>
    </row>
    <row r="92" spans="1:7" s="265" customFormat="1" ht="42" customHeight="1">
      <c r="A92" s="792" t="s">
        <v>543</v>
      </c>
      <c r="B92" s="382" t="s">
        <v>570</v>
      </c>
      <c r="C92" s="793" t="s">
        <v>275</v>
      </c>
      <c r="D92" s="256">
        <f>'ВСЕ раб'!H30</f>
        <v>145294</v>
      </c>
      <c r="E92" s="795">
        <f t="shared" si="2"/>
        <v>2.01</v>
      </c>
      <c r="F92" s="264"/>
      <c r="G92" s="347"/>
    </row>
    <row r="93" spans="1:7" s="265" customFormat="1" ht="17.25" customHeight="1">
      <c r="A93" s="258" t="s">
        <v>566</v>
      </c>
      <c r="B93" s="435" t="s">
        <v>437</v>
      </c>
      <c r="C93" s="247" t="s">
        <v>275</v>
      </c>
      <c r="D93" s="256">
        <f>'ВСЕ раб'!H31</f>
        <v>114081</v>
      </c>
      <c r="E93" s="358">
        <f t="shared" si="2"/>
        <v>1.58</v>
      </c>
      <c r="F93" s="264"/>
      <c r="G93" s="347"/>
    </row>
    <row r="94" spans="1:7" ht="21.75" customHeight="1" thickBot="1">
      <c r="A94" s="769"/>
      <c r="B94" s="770" t="s">
        <v>280</v>
      </c>
      <c r="C94" s="771"/>
      <c r="D94" s="772">
        <f>D5+D17+D55+D56+D58+D60+D61+D62+D63+D64+D67+D71+D72+D74+D75+D76+D78+D80+D81+D82+D83+D84+D85+D88+D89+D91+D92+D93+D68+D15+D90</f>
        <v>877449.4249876342</v>
      </c>
      <c r="E94" s="819">
        <f t="shared" si="2"/>
        <v>12.14</v>
      </c>
      <c r="F94" s="264"/>
      <c r="G94" s="347"/>
    </row>
    <row r="95" spans="1:5" ht="12.75">
      <c r="A95" s="259"/>
      <c r="B95" s="254"/>
      <c r="C95" s="253"/>
      <c r="D95" s="253"/>
      <c r="E95" s="268"/>
    </row>
    <row r="96" spans="1:5" ht="12.75">
      <c r="A96" s="260"/>
      <c r="E96" s="269"/>
    </row>
    <row r="97" ht="12.75">
      <c r="E97" s="267"/>
    </row>
    <row r="98" ht="12.75">
      <c r="E98" s="267"/>
    </row>
  </sheetData>
  <sheetProtection/>
  <mergeCells count="33">
    <mergeCell ref="A1:E1"/>
    <mergeCell ref="A19:A20"/>
    <mergeCell ref="D19:D20"/>
    <mergeCell ref="E19:E20"/>
    <mergeCell ref="A16:E16"/>
    <mergeCell ref="A4:E4"/>
    <mergeCell ref="A26:A27"/>
    <mergeCell ref="D26:D27"/>
    <mergeCell ref="E26:E27"/>
    <mergeCell ref="A21:A23"/>
    <mergeCell ref="D21:D23"/>
    <mergeCell ref="E21:E23"/>
    <mergeCell ref="A24:A25"/>
    <mergeCell ref="D24:D25"/>
    <mergeCell ref="E24:E25"/>
    <mergeCell ref="D31:D33"/>
    <mergeCell ref="E31:E33"/>
    <mergeCell ref="A28:A30"/>
    <mergeCell ref="A87:E87"/>
    <mergeCell ref="A45:A46"/>
    <mergeCell ref="D45:D46"/>
    <mergeCell ref="E45:E46"/>
    <mergeCell ref="D28:D30"/>
    <mergeCell ref="E28:E30"/>
    <mergeCell ref="A31:A33"/>
    <mergeCell ref="A65:E65"/>
    <mergeCell ref="A39:A41"/>
    <mergeCell ref="D39:D41"/>
    <mergeCell ref="E39:E41"/>
    <mergeCell ref="A57:E57"/>
    <mergeCell ref="A42:A44"/>
    <mergeCell ref="D42:D44"/>
    <mergeCell ref="E42:E44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5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2015-01-12T11:23:14Z</cp:lastPrinted>
  <dcterms:created xsi:type="dcterms:W3CDTF">2007-07-20T13:26:54Z</dcterms:created>
  <dcterms:modified xsi:type="dcterms:W3CDTF">2015-01-30T12:26:44Z</dcterms:modified>
  <cp:category/>
  <cp:version/>
  <cp:contentType/>
  <cp:contentStatus/>
</cp:coreProperties>
</file>