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840" tabRatio="599" activeTab="7"/>
  </bookViews>
  <sheets>
    <sheet name="Январь22" sheetId="62" r:id="rId1"/>
    <sheet name="Февраль22" sheetId="63" r:id="rId2"/>
    <sheet name="Март22" sheetId="64" r:id="rId3"/>
    <sheet name="Апрель22" sheetId="65" r:id="rId4"/>
    <sheet name="Сентябрь22" sheetId="66" r:id="rId5"/>
    <sheet name="Октябрь22" sheetId="67" r:id="rId6"/>
    <sheet name="Ноябрь22" sheetId="68" r:id="rId7"/>
    <sheet name="Декабрь22" sheetId="69" r:id="rId8"/>
  </sheets>
  <calcPr calcId="145621"/>
</workbook>
</file>

<file path=xl/calcChain.xml><?xml version="1.0" encoding="utf-8"?>
<calcChain xmlns="http://schemas.openxmlformats.org/spreadsheetml/2006/main">
  <c r="E328" i="69" l="1"/>
  <c r="D328" i="69"/>
  <c r="C328" i="69"/>
  <c r="F327" i="69"/>
  <c r="F326" i="69"/>
  <c r="F325" i="69"/>
  <c r="F324" i="69"/>
  <c r="F323" i="69"/>
  <c r="F322" i="69"/>
  <c r="F321" i="69"/>
  <c r="F320" i="69"/>
  <c r="F319" i="69"/>
  <c r="F318" i="69"/>
  <c r="F317" i="69"/>
  <c r="F316" i="69"/>
  <c r="F315" i="69"/>
  <c r="F314" i="69"/>
  <c r="F313" i="69"/>
  <c r="G308" i="69"/>
  <c r="E307" i="69"/>
  <c r="F32" i="69" s="1"/>
  <c r="H302" i="69"/>
  <c r="I302" i="69" s="1"/>
  <c r="J301" i="69"/>
  <c r="I301" i="69"/>
  <c r="H300" i="69"/>
  <c r="I300" i="69" s="1"/>
  <c r="H299" i="69"/>
  <c r="I299" i="69" s="1"/>
  <c r="H298" i="69"/>
  <c r="I298" i="69" s="1"/>
  <c r="J297" i="69"/>
  <c r="I297" i="69"/>
  <c r="J296" i="69"/>
  <c r="I296" i="69"/>
  <c r="L296" i="69" s="1"/>
  <c r="J295" i="69"/>
  <c r="I295" i="69"/>
  <c r="H294" i="69"/>
  <c r="I294" i="69" s="1"/>
  <c r="I293" i="69"/>
  <c r="H292" i="69"/>
  <c r="I292" i="69" s="1"/>
  <c r="J291" i="69"/>
  <c r="I291" i="69"/>
  <c r="H290" i="69"/>
  <c r="I290" i="69" s="1"/>
  <c r="J289" i="69"/>
  <c r="I289" i="69"/>
  <c r="H288" i="69"/>
  <c r="I288" i="69" s="1"/>
  <c r="I287" i="69"/>
  <c r="J286" i="69"/>
  <c r="I286" i="69"/>
  <c r="H285" i="69"/>
  <c r="I285" i="69" s="1"/>
  <c r="H284" i="69"/>
  <c r="I284" i="69" s="1"/>
  <c r="J283" i="69"/>
  <c r="I283" i="69"/>
  <c r="I282" i="69"/>
  <c r="J281" i="69"/>
  <c r="I281" i="69"/>
  <c r="J280" i="69"/>
  <c r="I280" i="69"/>
  <c r="H279" i="69"/>
  <c r="I279" i="69" s="1"/>
  <c r="H278" i="69"/>
  <c r="I278" i="69" s="1"/>
  <c r="H277" i="69"/>
  <c r="I277" i="69" s="1"/>
  <c r="H276" i="69"/>
  <c r="I276" i="69" s="1"/>
  <c r="I275" i="69"/>
  <c r="J274" i="69"/>
  <c r="I274" i="69"/>
  <c r="H273" i="69"/>
  <c r="I273" i="69" s="1"/>
  <c r="J272" i="69"/>
  <c r="I272" i="69"/>
  <c r="L272" i="69" s="1"/>
  <c r="H271" i="69"/>
  <c r="I271" i="69" s="1"/>
  <c r="H270" i="69"/>
  <c r="I270" i="69" s="1"/>
  <c r="J269" i="69"/>
  <c r="I269" i="69"/>
  <c r="H268" i="69"/>
  <c r="I268" i="69" s="1"/>
  <c r="H267" i="69"/>
  <c r="I267" i="69" s="1"/>
  <c r="H266" i="69"/>
  <c r="I266" i="69" s="1"/>
  <c r="I265" i="69"/>
  <c r="J264" i="69"/>
  <c r="I264" i="69"/>
  <c r="H263" i="69"/>
  <c r="I263" i="69" s="1"/>
  <c r="J262" i="69"/>
  <c r="I262" i="69"/>
  <c r="L262" i="69" s="1"/>
  <c r="J261" i="69"/>
  <c r="I261" i="69"/>
  <c r="L261" i="69" s="1"/>
  <c r="H260" i="69"/>
  <c r="I260" i="69" s="1"/>
  <c r="J259" i="69"/>
  <c r="I259" i="69"/>
  <c r="J258" i="69"/>
  <c r="I258" i="69"/>
  <c r="I257" i="69"/>
  <c r="H256" i="69"/>
  <c r="I256" i="69" s="1"/>
  <c r="H255" i="69"/>
  <c r="I255" i="69" s="1"/>
  <c r="H254" i="69"/>
  <c r="I254" i="69" s="1"/>
  <c r="H253" i="69"/>
  <c r="I253" i="69" s="1"/>
  <c r="I252" i="69"/>
  <c r="I251" i="69"/>
  <c r="I250" i="69"/>
  <c r="J249" i="69"/>
  <c r="I249" i="69"/>
  <c r="H248" i="69"/>
  <c r="I248" i="69" s="1"/>
  <c r="I247" i="69"/>
  <c r="I246" i="69"/>
  <c r="H245" i="69"/>
  <c r="I245" i="69" s="1"/>
  <c r="I244" i="69"/>
  <c r="J243" i="69"/>
  <c r="I243" i="69"/>
  <c r="H242" i="69"/>
  <c r="I242" i="69" s="1"/>
  <c r="H241" i="69"/>
  <c r="I241" i="69" s="1"/>
  <c r="J240" i="69"/>
  <c r="I240" i="69"/>
  <c r="I239" i="69"/>
  <c r="H238" i="69"/>
  <c r="I238" i="69" s="1"/>
  <c r="E237" i="69"/>
  <c r="H232" i="69"/>
  <c r="I232" i="69" s="1"/>
  <c r="J231" i="69"/>
  <c r="I231" i="69"/>
  <c r="J230" i="69"/>
  <c r="I230" i="69"/>
  <c r="H229" i="69"/>
  <c r="I229" i="69" s="1"/>
  <c r="H228" i="69"/>
  <c r="I228" i="69" s="1"/>
  <c r="I227" i="69"/>
  <c r="H227" i="69"/>
  <c r="H226" i="69"/>
  <c r="I226" i="69" s="1"/>
  <c r="H225" i="69"/>
  <c r="I225" i="69" s="1"/>
  <c r="H224" i="69"/>
  <c r="I224" i="69" s="1"/>
  <c r="J223" i="69"/>
  <c r="I223" i="69"/>
  <c r="I222" i="69"/>
  <c r="H221" i="69"/>
  <c r="I221" i="69" s="1"/>
  <c r="H220" i="69"/>
  <c r="I220" i="69" s="1"/>
  <c r="I219" i="69"/>
  <c r="H219" i="69"/>
  <c r="J218" i="69"/>
  <c r="I218" i="69"/>
  <c r="J217" i="69"/>
  <c r="I217" i="69"/>
  <c r="H216" i="69"/>
  <c r="I216" i="69" s="1"/>
  <c r="H215" i="69"/>
  <c r="I215" i="69" s="1"/>
  <c r="H214" i="69"/>
  <c r="I214" i="69" s="1"/>
  <c r="H213" i="69"/>
  <c r="I213" i="69" s="1"/>
  <c r="I212" i="69"/>
  <c r="H211" i="69"/>
  <c r="I211" i="69" s="1"/>
  <c r="H210" i="69"/>
  <c r="I210" i="69" s="1"/>
  <c r="H209" i="69"/>
  <c r="I209" i="69" s="1"/>
  <c r="H208" i="69"/>
  <c r="I208" i="69" s="1"/>
  <c r="H207" i="69"/>
  <c r="I207" i="69" s="1"/>
  <c r="I206" i="69"/>
  <c r="H206" i="69"/>
  <c r="I205" i="69"/>
  <c r="H204" i="69"/>
  <c r="I204" i="69" s="1"/>
  <c r="I203" i="69"/>
  <c r="I202" i="69"/>
  <c r="I201" i="69"/>
  <c r="H201" i="69"/>
  <c r="H200" i="69"/>
  <c r="I200" i="69" s="1"/>
  <c r="J199" i="69"/>
  <c r="I199" i="69"/>
  <c r="L199" i="69" s="1"/>
  <c r="H198" i="69"/>
  <c r="I198" i="69" s="1"/>
  <c r="H197" i="69"/>
  <c r="I197" i="69" s="1"/>
  <c r="H196" i="69"/>
  <c r="I196" i="69" s="1"/>
  <c r="H195" i="69"/>
  <c r="I195" i="69" s="1"/>
  <c r="J194" i="69"/>
  <c r="I194" i="69"/>
  <c r="H193" i="69"/>
  <c r="I193" i="69" s="1"/>
  <c r="I192" i="69"/>
  <c r="H191" i="69"/>
  <c r="I191" i="69" s="1"/>
  <c r="I190" i="69"/>
  <c r="I189" i="69"/>
  <c r="H189" i="69"/>
  <c r="H188" i="69"/>
  <c r="I188" i="69" s="1"/>
  <c r="H187" i="69"/>
  <c r="I187" i="69" s="1"/>
  <c r="J186" i="69"/>
  <c r="I186" i="69"/>
  <c r="H185" i="69"/>
  <c r="I185" i="69" s="1"/>
  <c r="H184" i="69"/>
  <c r="I184" i="69" s="1"/>
  <c r="H183" i="69"/>
  <c r="I183" i="69" s="1"/>
  <c r="H182" i="69"/>
  <c r="I182" i="69" s="1"/>
  <c r="I181" i="69"/>
  <c r="E180" i="69"/>
  <c r="H176" i="69"/>
  <c r="I176" i="69" s="1"/>
  <c r="I175" i="69"/>
  <c r="H174" i="69"/>
  <c r="I174" i="69" s="1"/>
  <c r="J173" i="69"/>
  <c r="I173" i="69"/>
  <c r="H172" i="69"/>
  <c r="I172" i="69" s="1"/>
  <c r="H171" i="69"/>
  <c r="I171" i="69" s="1"/>
  <c r="H170" i="69"/>
  <c r="I170" i="69" s="1"/>
  <c r="H169" i="69"/>
  <c r="I169" i="69" s="1"/>
  <c r="J168" i="69"/>
  <c r="I168" i="69"/>
  <c r="J167" i="69"/>
  <c r="I167" i="69"/>
  <c r="L167" i="69" s="1"/>
  <c r="H166" i="69"/>
  <c r="I166" i="69" s="1"/>
  <c r="I165" i="69"/>
  <c r="H165" i="69"/>
  <c r="H164" i="69"/>
  <c r="I164" i="69" s="1"/>
  <c r="H163" i="69"/>
  <c r="I163" i="69" s="1"/>
  <c r="H162" i="69"/>
  <c r="I162" i="69" s="1"/>
  <c r="H161" i="69"/>
  <c r="I161" i="69" s="1"/>
  <c r="H160" i="69"/>
  <c r="I160" i="69" s="1"/>
  <c r="H159" i="69"/>
  <c r="I159" i="69" s="1"/>
  <c r="H158" i="69"/>
  <c r="I158" i="69" s="1"/>
  <c r="I157" i="69"/>
  <c r="I156" i="69"/>
  <c r="I155" i="69"/>
  <c r="H155" i="69"/>
  <c r="H154" i="69"/>
  <c r="I154" i="69" s="1"/>
  <c r="J153" i="69"/>
  <c r="I153" i="69"/>
  <c r="L153" i="69" s="1"/>
  <c r="H152" i="69"/>
  <c r="I152" i="69" s="1"/>
  <c r="J151" i="69"/>
  <c r="I151" i="69"/>
  <c r="H150" i="69"/>
  <c r="I150" i="69" s="1"/>
  <c r="F149" i="69"/>
  <c r="I149" i="69" s="1"/>
  <c r="H148" i="69"/>
  <c r="I148" i="69" s="1"/>
  <c r="I147" i="69"/>
  <c r="H146" i="69"/>
  <c r="I146" i="69" s="1"/>
  <c r="H145" i="69"/>
  <c r="I145" i="69" s="1"/>
  <c r="I144" i="69"/>
  <c r="I143" i="69"/>
  <c r="H142" i="69"/>
  <c r="I142" i="69" s="1"/>
  <c r="J141" i="69"/>
  <c r="I141" i="69"/>
  <c r="H140" i="69"/>
  <c r="I140" i="69" s="1"/>
  <c r="H139" i="69"/>
  <c r="I139" i="69" s="1"/>
  <c r="I138" i="69"/>
  <c r="H138" i="69"/>
  <c r="H137" i="69"/>
  <c r="I137" i="69" s="1"/>
  <c r="J136" i="69"/>
  <c r="I136" i="69"/>
  <c r="L136" i="69" s="1"/>
  <c r="H135" i="69"/>
  <c r="I135" i="69" s="1"/>
  <c r="H134" i="69"/>
  <c r="I134" i="69" s="1"/>
  <c r="H133" i="69"/>
  <c r="I133" i="69" s="1"/>
  <c r="H132" i="69"/>
  <c r="I132" i="69" s="1"/>
  <c r="J131" i="69"/>
  <c r="I131" i="69"/>
  <c r="J130" i="69"/>
  <c r="I130" i="69"/>
  <c r="H129" i="69"/>
  <c r="I129" i="69" s="1"/>
  <c r="H128" i="69"/>
  <c r="I128" i="69" s="1"/>
  <c r="I127" i="69"/>
  <c r="J126" i="69"/>
  <c r="I126" i="69"/>
  <c r="L126" i="69" s="1"/>
  <c r="H125" i="69"/>
  <c r="I125" i="69" s="1"/>
  <c r="I124" i="69"/>
  <c r="H123" i="69"/>
  <c r="I123" i="69" s="1"/>
  <c r="H122" i="69"/>
  <c r="I122" i="69" s="1"/>
  <c r="I121" i="69"/>
  <c r="E120" i="69"/>
  <c r="E308" i="69" s="1"/>
  <c r="I115" i="69"/>
  <c r="I114" i="69"/>
  <c r="J113" i="69"/>
  <c r="I113" i="69"/>
  <c r="L113" i="69" s="1"/>
  <c r="J112" i="69"/>
  <c r="I112" i="69"/>
  <c r="L112" i="69" s="1"/>
  <c r="H111" i="69"/>
  <c r="I111" i="69" s="1"/>
  <c r="H110" i="69"/>
  <c r="I110" i="69" s="1"/>
  <c r="H109" i="69"/>
  <c r="I109" i="69" s="1"/>
  <c r="H108" i="69"/>
  <c r="I108" i="69" s="1"/>
  <c r="H107" i="69"/>
  <c r="I107" i="69" s="1"/>
  <c r="J106" i="69"/>
  <c r="I106" i="69"/>
  <c r="H105" i="69"/>
  <c r="I105" i="69" s="1"/>
  <c r="H104" i="69"/>
  <c r="I104" i="69" s="1"/>
  <c r="I103" i="69"/>
  <c r="H103" i="69"/>
  <c r="H102" i="69"/>
  <c r="I102" i="69" s="1"/>
  <c r="H101" i="69"/>
  <c r="I101" i="69" s="1"/>
  <c r="H100" i="69"/>
  <c r="I100" i="69" s="1"/>
  <c r="I99" i="69"/>
  <c r="J98" i="69"/>
  <c r="I98" i="69"/>
  <c r="H97" i="69"/>
  <c r="I97" i="69" s="1"/>
  <c r="J96" i="69"/>
  <c r="I96" i="69"/>
  <c r="L96" i="69" s="1"/>
  <c r="I95" i="69"/>
  <c r="H94" i="69"/>
  <c r="I94" i="69" s="1"/>
  <c r="J93" i="69"/>
  <c r="I93" i="69"/>
  <c r="L93" i="69" s="1"/>
  <c r="J92" i="69"/>
  <c r="I92" i="69"/>
  <c r="L92" i="69" s="1"/>
  <c r="H91" i="69"/>
  <c r="I91" i="69" s="1"/>
  <c r="H90" i="69"/>
  <c r="I90" i="69" s="1"/>
  <c r="H89" i="69"/>
  <c r="I89" i="69" s="1"/>
  <c r="F88" i="69"/>
  <c r="I88" i="69" s="1"/>
  <c r="H87" i="69"/>
  <c r="I87" i="69" s="1"/>
  <c r="J86" i="69"/>
  <c r="I86" i="69"/>
  <c r="L86" i="69" s="1"/>
  <c r="H85" i="69"/>
  <c r="I85" i="69" s="1"/>
  <c r="I84" i="69"/>
  <c r="H84" i="69"/>
  <c r="I83" i="69"/>
  <c r="H82" i="69"/>
  <c r="I82" i="69" s="1"/>
  <c r="I81" i="69"/>
  <c r="J80" i="69"/>
  <c r="I80" i="69"/>
  <c r="L80" i="69" s="1"/>
  <c r="H79" i="69"/>
  <c r="I79" i="69" s="1"/>
  <c r="I78" i="69"/>
  <c r="J77" i="69"/>
  <c r="I77" i="69"/>
  <c r="H76" i="69"/>
  <c r="I76" i="69" s="1"/>
  <c r="H75" i="69"/>
  <c r="I75" i="69" s="1"/>
  <c r="H74" i="69"/>
  <c r="I74" i="69" s="1"/>
  <c r="I73" i="69"/>
  <c r="H73" i="69"/>
  <c r="J72" i="69"/>
  <c r="I72" i="69"/>
  <c r="H71" i="69"/>
  <c r="I71" i="69" s="1"/>
  <c r="H70" i="69"/>
  <c r="I70" i="69" s="1"/>
  <c r="J69" i="69"/>
  <c r="I69" i="69"/>
  <c r="H68" i="69"/>
  <c r="I68" i="69" s="1"/>
  <c r="F67" i="69"/>
  <c r="F308" i="69" s="1"/>
  <c r="H66" i="69"/>
  <c r="I66" i="69" s="1"/>
  <c r="I65" i="69"/>
  <c r="H64" i="69"/>
  <c r="I64" i="69" s="1"/>
  <c r="H63" i="69"/>
  <c r="I63" i="69" s="1"/>
  <c r="J62" i="69"/>
  <c r="I62" i="69"/>
  <c r="L62" i="69" s="1"/>
  <c r="I61" i="69"/>
  <c r="H60" i="69"/>
  <c r="I60" i="69" s="1"/>
  <c r="H59" i="69"/>
  <c r="I59" i="69" s="1"/>
  <c r="H58" i="69"/>
  <c r="I58" i="69" s="1"/>
  <c r="H57" i="69"/>
  <c r="I57" i="69" s="1"/>
  <c r="J56" i="69"/>
  <c r="I56" i="69"/>
  <c r="I55" i="69"/>
  <c r="J54" i="69"/>
  <c r="I54" i="69"/>
  <c r="H53" i="69"/>
  <c r="I53" i="69" s="1"/>
  <c r="I52" i="69"/>
  <c r="H51" i="69"/>
  <c r="I51" i="69" s="1"/>
  <c r="H50" i="69"/>
  <c r="I50" i="69" s="1"/>
  <c r="J49" i="69"/>
  <c r="I49" i="69"/>
  <c r="I48" i="69"/>
  <c r="I47" i="69"/>
  <c r="I46" i="69"/>
  <c r="H46" i="69"/>
  <c r="J45" i="69"/>
  <c r="I45" i="69"/>
  <c r="I44" i="69"/>
  <c r="H43" i="69"/>
  <c r="I43" i="69" s="1"/>
  <c r="I42" i="69"/>
  <c r="H42" i="69"/>
  <c r="K36" i="69"/>
  <c r="F34" i="69"/>
  <c r="F33" i="69"/>
  <c r="F27" i="69"/>
  <c r="F26" i="69"/>
  <c r="F25" i="69"/>
  <c r="F20" i="69"/>
  <c r="F19" i="69"/>
  <c r="F18" i="69"/>
  <c r="F13" i="69"/>
  <c r="F12" i="69"/>
  <c r="L69" i="69" l="1"/>
  <c r="L98" i="69"/>
  <c r="L106" i="69"/>
  <c r="L130" i="69"/>
  <c r="L131" i="69"/>
  <c r="L141" i="69"/>
  <c r="L173" i="69"/>
  <c r="L186" i="69"/>
  <c r="L194" i="69"/>
  <c r="L230" i="69"/>
  <c r="L231" i="69"/>
  <c r="L240" i="69"/>
  <c r="L259" i="69"/>
  <c r="L281" i="69"/>
  <c r="L291" i="69"/>
  <c r="F328" i="69"/>
  <c r="L54" i="69"/>
  <c r="F11" i="69"/>
  <c r="L45" i="69"/>
  <c r="L49" i="69"/>
  <c r="L56" i="69"/>
  <c r="L72" i="69"/>
  <c r="L77" i="69"/>
  <c r="J237" i="69"/>
  <c r="K26" i="69" s="1"/>
  <c r="L217" i="69"/>
  <c r="L223" i="69"/>
  <c r="L243" i="69"/>
  <c r="L249" i="69"/>
  <c r="L269" i="69"/>
  <c r="L283" i="69"/>
  <c r="L289" i="69"/>
  <c r="L301" i="69"/>
  <c r="H67" i="69"/>
  <c r="I67" i="69" s="1"/>
  <c r="I120" i="69" s="1"/>
  <c r="I180" i="69"/>
  <c r="L168" i="69"/>
  <c r="L151" i="69"/>
  <c r="I237" i="69"/>
  <c r="K27" i="69" s="1"/>
  <c r="L218" i="69"/>
  <c r="I307" i="69"/>
  <c r="L258" i="69"/>
  <c r="L264" i="69"/>
  <c r="L274" i="69"/>
  <c r="L280" i="69"/>
  <c r="L286" i="69"/>
  <c r="L295" i="69"/>
  <c r="L297" i="69"/>
  <c r="H308" i="69"/>
  <c r="I308" i="69" l="1"/>
  <c r="J108" i="69"/>
  <c r="K13" i="69"/>
  <c r="J238" i="69"/>
  <c r="K34" i="69"/>
  <c r="K24" i="69"/>
  <c r="K23" i="69"/>
  <c r="J148" i="69"/>
  <c r="K20" i="69"/>
  <c r="J180" i="69" l="1"/>
  <c r="K19" i="69" s="1"/>
  <c r="K17" i="69" s="1"/>
  <c r="K236" i="69"/>
  <c r="L236" i="69" s="1"/>
  <c r="K232" i="69"/>
  <c r="L232" i="69" s="1"/>
  <c r="K226" i="69"/>
  <c r="L226" i="69" s="1"/>
  <c r="K235" i="69"/>
  <c r="L235" i="69" s="1"/>
  <c r="K229" i="69"/>
  <c r="L229" i="69" s="1"/>
  <c r="K225" i="69"/>
  <c r="L225" i="69" s="1"/>
  <c r="K221" i="69"/>
  <c r="L221" i="69" s="1"/>
  <c r="K215" i="69"/>
  <c r="L215" i="69" s="1"/>
  <c r="K210" i="69"/>
  <c r="L210" i="69" s="1"/>
  <c r="K206" i="69"/>
  <c r="L206" i="69" s="1"/>
  <c r="K202" i="69"/>
  <c r="L202" i="69" s="1"/>
  <c r="K198" i="69"/>
  <c r="L198" i="69" s="1"/>
  <c r="K220" i="69"/>
  <c r="L220" i="69" s="1"/>
  <c r="K214" i="69"/>
  <c r="L214" i="69" s="1"/>
  <c r="K204" i="69"/>
  <c r="L204" i="69" s="1"/>
  <c r="K192" i="69"/>
  <c r="L192" i="69" s="1"/>
  <c r="K188" i="69"/>
  <c r="L188" i="69" s="1"/>
  <c r="K183" i="69"/>
  <c r="L183" i="69" s="1"/>
  <c r="K211" i="69"/>
  <c r="L211" i="69" s="1"/>
  <c r="K207" i="69"/>
  <c r="L207" i="69" s="1"/>
  <c r="K197" i="69"/>
  <c r="L197" i="69" s="1"/>
  <c r="K193" i="69"/>
  <c r="L193" i="69" s="1"/>
  <c r="K189" i="69"/>
  <c r="L189" i="69" s="1"/>
  <c r="K184" i="69"/>
  <c r="L184" i="69" s="1"/>
  <c r="K234" i="69"/>
  <c r="L234" i="69" s="1"/>
  <c r="K228" i="69"/>
  <c r="L228" i="69" s="1"/>
  <c r="K224" i="69"/>
  <c r="L224" i="69" s="1"/>
  <c r="K233" i="69"/>
  <c r="L233" i="69" s="1"/>
  <c r="K227" i="69"/>
  <c r="L227" i="69" s="1"/>
  <c r="K222" i="69"/>
  <c r="L222" i="69" s="1"/>
  <c r="K219" i="69"/>
  <c r="L219" i="69" s="1"/>
  <c r="K213" i="69"/>
  <c r="L213" i="69" s="1"/>
  <c r="K208" i="69"/>
  <c r="L208" i="69" s="1"/>
  <c r="K203" i="69"/>
  <c r="L203" i="69" s="1"/>
  <c r="K201" i="69"/>
  <c r="L201" i="69" s="1"/>
  <c r="K196" i="69"/>
  <c r="L196" i="69" s="1"/>
  <c r="K216" i="69"/>
  <c r="L216" i="69" s="1"/>
  <c r="K212" i="69"/>
  <c r="L212" i="69" s="1"/>
  <c r="K200" i="69"/>
  <c r="L200" i="69" s="1"/>
  <c r="K191" i="69"/>
  <c r="L191" i="69" s="1"/>
  <c r="K185" i="69"/>
  <c r="L185" i="69" s="1"/>
  <c r="K181" i="69"/>
  <c r="K209" i="69"/>
  <c r="L209" i="69" s="1"/>
  <c r="K205" i="69"/>
  <c r="L205" i="69" s="1"/>
  <c r="K195" i="69"/>
  <c r="L195" i="69" s="1"/>
  <c r="K190" i="69"/>
  <c r="L190" i="69" s="1"/>
  <c r="K187" i="69"/>
  <c r="L187" i="69" s="1"/>
  <c r="K182" i="69"/>
  <c r="L182" i="69" s="1"/>
  <c r="J307" i="69"/>
  <c r="K33" i="69" s="1"/>
  <c r="K30" i="69" s="1"/>
  <c r="J120" i="69"/>
  <c r="K31" i="69"/>
  <c r="K178" i="69" l="1"/>
  <c r="L178" i="69" s="1"/>
  <c r="K172" i="69"/>
  <c r="L172" i="69" s="1"/>
  <c r="K179" i="69"/>
  <c r="L179" i="69" s="1"/>
  <c r="K175" i="69"/>
  <c r="L175" i="69" s="1"/>
  <c r="K171" i="69"/>
  <c r="L171" i="69" s="1"/>
  <c r="K165" i="69"/>
  <c r="L165" i="69" s="1"/>
  <c r="K161" i="69"/>
  <c r="L161" i="69" s="1"/>
  <c r="K157" i="69"/>
  <c r="L157" i="69" s="1"/>
  <c r="K155" i="69"/>
  <c r="L155" i="69" s="1"/>
  <c r="K149" i="69"/>
  <c r="L149" i="69" s="1"/>
  <c r="K140" i="69"/>
  <c r="L140" i="69" s="1"/>
  <c r="K135" i="69"/>
  <c r="L135" i="69" s="1"/>
  <c r="K129" i="69"/>
  <c r="L129" i="69" s="1"/>
  <c r="K125" i="69"/>
  <c r="L125" i="69" s="1"/>
  <c r="K123" i="69"/>
  <c r="L123" i="69" s="1"/>
  <c r="K128" i="69"/>
  <c r="L128" i="69" s="1"/>
  <c r="K134" i="69"/>
  <c r="L134" i="69" s="1"/>
  <c r="K146" i="69"/>
  <c r="L146" i="69" s="1"/>
  <c r="K121" i="69"/>
  <c r="K124" i="69"/>
  <c r="L124" i="69" s="1"/>
  <c r="K139" i="69"/>
  <c r="L139" i="69" s="1"/>
  <c r="K143" i="69"/>
  <c r="L143" i="69" s="1"/>
  <c r="K148" i="69"/>
  <c r="L148" i="69" s="1"/>
  <c r="K158" i="69"/>
  <c r="L158" i="69" s="1"/>
  <c r="K162" i="69"/>
  <c r="L162" i="69" s="1"/>
  <c r="K166" i="69"/>
  <c r="L166" i="69" s="1"/>
  <c r="K176" i="69"/>
  <c r="L176" i="69" s="1"/>
  <c r="K170" i="69"/>
  <c r="L170" i="69" s="1"/>
  <c r="K177" i="69"/>
  <c r="L177" i="69" s="1"/>
  <c r="K174" i="69"/>
  <c r="L174" i="69" s="1"/>
  <c r="K169" i="69"/>
  <c r="L169" i="69" s="1"/>
  <c r="K163" i="69"/>
  <c r="L163" i="69" s="1"/>
  <c r="K159" i="69"/>
  <c r="L159" i="69" s="1"/>
  <c r="K156" i="69"/>
  <c r="L156" i="69" s="1"/>
  <c r="K152" i="69"/>
  <c r="L152" i="69" s="1"/>
  <c r="K145" i="69"/>
  <c r="L145" i="69" s="1"/>
  <c r="K138" i="69"/>
  <c r="L138" i="69" s="1"/>
  <c r="K133" i="69"/>
  <c r="L133" i="69" s="1"/>
  <c r="K127" i="69"/>
  <c r="L127" i="69" s="1"/>
  <c r="K122" i="69"/>
  <c r="L122" i="69" s="1"/>
  <c r="K132" i="69"/>
  <c r="L132" i="69" s="1"/>
  <c r="K142" i="69"/>
  <c r="L142" i="69" s="1"/>
  <c r="K144" i="69"/>
  <c r="L144" i="69" s="1"/>
  <c r="K137" i="69"/>
  <c r="L137" i="69" s="1"/>
  <c r="K147" i="69"/>
  <c r="L147" i="69" s="1"/>
  <c r="K150" i="69"/>
  <c r="L150" i="69" s="1"/>
  <c r="K154" i="69"/>
  <c r="L154" i="69" s="1"/>
  <c r="K160" i="69"/>
  <c r="L160" i="69" s="1"/>
  <c r="K164" i="69"/>
  <c r="L164" i="69" s="1"/>
  <c r="K306" i="69"/>
  <c r="L306" i="69" s="1"/>
  <c r="K302" i="69"/>
  <c r="L302" i="69" s="1"/>
  <c r="K305" i="69"/>
  <c r="L305" i="69" s="1"/>
  <c r="K300" i="69"/>
  <c r="L300" i="69" s="1"/>
  <c r="K293" i="69"/>
  <c r="L293" i="69" s="1"/>
  <c r="K288" i="69"/>
  <c r="L288" i="69" s="1"/>
  <c r="K278" i="69"/>
  <c r="L278" i="69" s="1"/>
  <c r="K271" i="69"/>
  <c r="L271" i="69" s="1"/>
  <c r="K266" i="69"/>
  <c r="L266" i="69" s="1"/>
  <c r="K255" i="69"/>
  <c r="L255" i="69" s="1"/>
  <c r="K282" i="69"/>
  <c r="L282" i="69" s="1"/>
  <c r="K256" i="69"/>
  <c r="L256" i="69" s="1"/>
  <c r="K247" i="69"/>
  <c r="L247" i="69" s="1"/>
  <c r="K245" i="69"/>
  <c r="L245" i="69" s="1"/>
  <c r="K294" i="69"/>
  <c r="L294" i="69" s="1"/>
  <c r="K285" i="69"/>
  <c r="L285" i="69" s="1"/>
  <c r="K277" i="69"/>
  <c r="L277" i="69" s="1"/>
  <c r="K273" i="69"/>
  <c r="L273" i="69" s="1"/>
  <c r="K265" i="69"/>
  <c r="L265" i="69" s="1"/>
  <c r="K257" i="69"/>
  <c r="L257" i="69" s="1"/>
  <c r="K252" i="69"/>
  <c r="L252" i="69" s="1"/>
  <c r="K250" i="69"/>
  <c r="L250" i="69" s="1"/>
  <c r="K244" i="69"/>
  <c r="L244" i="69" s="1"/>
  <c r="K239" i="69"/>
  <c r="L239" i="69" s="1"/>
  <c r="K304" i="69"/>
  <c r="L304" i="69" s="1"/>
  <c r="K299" i="69"/>
  <c r="L299" i="69" s="1"/>
  <c r="K303" i="69"/>
  <c r="L303" i="69" s="1"/>
  <c r="K298" i="69"/>
  <c r="L298" i="69" s="1"/>
  <c r="K292" i="69"/>
  <c r="L292" i="69" s="1"/>
  <c r="K284" i="69"/>
  <c r="L284" i="69" s="1"/>
  <c r="K276" i="69"/>
  <c r="L276" i="69" s="1"/>
  <c r="K268" i="69"/>
  <c r="L268" i="69" s="1"/>
  <c r="K260" i="69"/>
  <c r="L260" i="69" s="1"/>
  <c r="K290" i="69"/>
  <c r="L290" i="69" s="1"/>
  <c r="K270" i="69"/>
  <c r="L270" i="69" s="1"/>
  <c r="K253" i="69"/>
  <c r="L253" i="69" s="1"/>
  <c r="K246" i="69"/>
  <c r="L246" i="69" s="1"/>
  <c r="K241" i="69"/>
  <c r="L241" i="69" s="1"/>
  <c r="K287" i="69"/>
  <c r="L287" i="69" s="1"/>
  <c r="K279" i="69"/>
  <c r="L279" i="69" s="1"/>
  <c r="K275" i="69"/>
  <c r="L275" i="69" s="1"/>
  <c r="K267" i="69"/>
  <c r="L267" i="69" s="1"/>
  <c r="K263" i="69"/>
  <c r="L263" i="69" s="1"/>
  <c r="K254" i="69"/>
  <c r="L254" i="69" s="1"/>
  <c r="K251" i="69"/>
  <c r="L251" i="69" s="1"/>
  <c r="K248" i="69"/>
  <c r="L248" i="69" s="1"/>
  <c r="K242" i="69"/>
  <c r="L242" i="69" s="1"/>
  <c r="K238" i="69"/>
  <c r="K16" i="69"/>
  <c r="J308" i="69"/>
  <c r="K12" i="69"/>
  <c r="K237" i="69"/>
  <c r="L181" i="69"/>
  <c r="L237" i="69" l="1"/>
  <c r="K9" i="69"/>
  <c r="K10" i="69"/>
  <c r="K180" i="69"/>
  <c r="L121" i="69"/>
  <c r="K307" i="69"/>
  <c r="L238" i="69"/>
  <c r="L307" i="69" l="1"/>
  <c r="L180" i="69"/>
  <c r="K39" i="69"/>
  <c r="K58" i="69"/>
  <c r="L58" i="69" s="1"/>
  <c r="K118" i="69"/>
  <c r="L118" i="69" s="1"/>
  <c r="K43" i="69"/>
  <c r="L43" i="69" s="1"/>
  <c r="K42" i="69"/>
  <c r="K47" i="69"/>
  <c r="L47" i="69" s="1"/>
  <c r="K51" i="69"/>
  <c r="L51" i="69" s="1"/>
  <c r="K57" i="69"/>
  <c r="L57" i="69" s="1"/>
  <c r="K63" i="69"/>
  <c r="L63" i="69" s="1"/>
  <c r="K70" i="69"/>
  <c r="L70" i="69" s="1"/>
  <c r="K75" i="69"/>
  <c r="L75" i="69" s="1"/>
  <c r="K81" i="69"/>
  <c r="L81" i="69" s="1"/>
  <c r="K87" i="69"/>
  <c r="L87" i="69" s="1"/>
  <c r="K91" i="69"/>
  <c r="L91" i="69" s="1"/>
  <c r="K99" i="69"/>
  <c r="L99" i="69" s="1"/>
  <c r="K103" i="69"/>
  <c r="L103" i="69" s="1"/>
  <c r="K109" i="69"/>
  <c r="L109" i="69" s="1"/>
  <c r="K114" i="69"/>
  <c r="L114" i="69" s="1"/>
  <c r="K117" i="69"/>
  <c r="L117" i="69" s="1"/>
  <c r="K44" i="69"/>
  <c r="L44" i="69" s="1"/>
  <c r="K55" i="69"/>
  <c r="L55" i="69" s="1"/>
  <c r="K61" i="69"/>
  <c r="L61" i="69" s="1"/>
  <c r="K65" i="69"/>
  <c r="L65" i="69" s="1"/>
  <c r="K71" i="69"/>
  <c r="L71" i="69" s="1"/>
  <c r="K76" i="69"/>
  <c r="L76" i="69" s="1"/>
  <c r="K82" i="69"/>
  <c r="L82" i="69" s="1"/>
  <c r="K85" i="69"/>
  <c r="L85" i="69" s="1"/>
  <c r="K90" i="69"/>
  <c r="L90" i="69" s="1"/>
  <c r="K95" i="69"/>
  <c r="L95" i="69" s="1"/>
  <c r="K102" i="69"/>
  <c r="L102" i="69" s="1"/>
  <c r="K107" i="69"/>
  <c r="L107" i="69" s="1"/>
  <c r="K110" i="69"/>
  <c r="L110" i="69" s="1"/>
  <c r="K50" i="69"/>
  <c r="L50" i="69" s="1"/>
  <c r="K46" i="69"/>
  <c r="L46" i="69" s="1"/>
  <c r="K48" i="69"/>
  <c r="L48" i="69" s="1"/>
  <c r="K52" i="69"/>
  <c r="L52" i="69" s="1"/>
  <c r="K59" i="69"/>
  <c r="L59" i="69" s="1"/>
  <c r="K66" i="69"/>
  <c r="L66" i="69" s="1"/>
  <c r="K67" i="69"/>
  <c r="L67" i="69" s="1"/>
  <c r="K73" i="69"/>
  <c r="L73" i="69" s="1"/>
  <c r="K79" i="69"/>
  <c r="L79" i="69" s="1"/>
  <c r="K84" i="69"/>
  <c r="L84" i="69" s="1"/>
  <c r="K89" i="69"/>
  <c r="L89" i="69" s="1"/>
  <c r="K97" i="69"/>
  <c r="L97" i="69" s="1"/>
  <c r="K101" i="69"/>
  <c r="L101" i="69" s="1"/>
  <c r="K105" i="69"/>
  <c r="L105" i="69" s="1"/>
  <c r="K111" i="69"/>
  <c r="L111" i="69" s="1"/>
  <c r="K115" i="69"/>
  <c r="L115" i="69" s="1"/>
  <c r="K119" i="69"/>
  <c r="L119" i="69" s="1"/>
  <c r="K53" i="69"/>
  <c r="L53" i="69" s="1"/>
  <c r="K60" i="69"/>
  <c r="L60" i="69" s="1"/>
  <c r="K64" i="69"/>
  <c r="L64" i="69" s="1"/>
  <c r="K68" i="69"/>
  <c r="L68" i="69" s="1"/>
  <c r="K74" i="69"/>
  <c r="L74" i="69" s="1"/>
  <c r="K78" i="69"/>
  <c r="L78" i="69" s="1"/>
  <c r="K83" i="69"/>
  <c r="L83" i="69" s="1"/>
  <c r="K88" i="69"/>
  <c r="L88" i="69" s="1"/>
  <c r="K94" i="69"/>
  <c r="L94" i="69" s="1"/>
  <c r="K100" i="69"/>
  <c r="L100" i="69" s="1"/>
  <c r="K104" i="69"/>
  <c r="L104" i="69" s="1"/>
  <c r="K108" i="69"/>
  <c r="L108" i="69" s="1"/>
  <c r="K116" i="69"/>
  <c r="L116" i="69" s="1"/>
  <c r="K38" i="69"/>
  <c r="K120" i="69" l="1"/>
  <c r="K308" i="69" s="1"/>
  <c r="L42" i="69"/>
  <c r="L120" i="69" l="1"/>
  <c r="L308" i="69" l="1"/>
  <c r="J45" i="67" l="1"/>
  <c r="H42" i="67"/>
  <c r="I45" i="67"/>
  <c r="F328" i="68" l="1"/>
  <c r="E328" i="68"/>
  <c r="D328" i="68"/>
  <c r="G327" i="68"/>
  <c r="G326" i="68"/>
  <c r="G325" i="68"/>
  <c r="G324" i="68"/>
  <c r="G323" i="68"/>
  <c r="G322" i="68"/>
  <c r="G321" i="68"/>
  <c r="G320" i="68"/>
  <c r="G319" i="68"/>
  <c r="G318" i="68"/>
  <c r="G317" i="68"/>
  <c r="G316" i="68"/>
  <c r="G315" i="68"/>
  <c r="G314" i="68"/>
  <c r="G313" i="68"/>
  <c r="G328" i="68" s="1"/>
  <c r="F308" i="68"/>
  <c r="G308" i="68" s="1"/>
  <c r="E308" i="68"/>
  <c r="D307" i="68"/>
  <c r="K306" i="68"/>
  <c r="K305" i="68"/>
  <c r="K304" i="68"/>
  <c r="K303" i="68"/>
  <c r="G302" i="68"/>
  <c r="H302" i="68" s="1"/>
  <c r="K302" i="68" s="1"/>
  <c r="I301" i="68"/>
  <c r="H301" i="68"/>
  <c r="H300" i="68"/>
  <c r="K300" i="68" s="1"/>
  <c r="G300" i="68"/>
  <c r="H299" i="68"/>
  <c r="K299" i="68" s="1"/>
  <c r="G299" i="68"/>
  <c r="H298" i="68"/>
  <c r="K298" i="68" s="1"/>
  <c r="G298" i="68"/>
  <c r="I297" i="68"/>
  <c r="H297" i="68"/>
  <c r="I296" i="68"/>
  <c r="H296" i="68"/>
  <c r="I295" i="68"/>
  <c r="H295" i="68"/>
  <c r="G294" i="68"/>
  <c r="H294" i="68" s="1"/>
  <c r="K294" i="68" s="1"/>
  <c r="K293" i="68"/>
  <c r="H293" i="68"/>
  <c r="H292" i="68"/>
  <c r="K292" i="68" s="1"/>
  <c r="G292" i="68"/>
  <c r="I291" i="68"/>
  <c r="H291" i="68"/>
  <c r="G290" i="68"/>
  <c r="H290" i="68" s="1"/>
  <c r="K290" i="68" s="1"/>
  <c r="I289" i="68"/>
  <c r="H289" i="68"/>
  <c r="H288" i="68"/>
  <c r="K288" i="68" s="1"/>
  <c r="G288" i="68"/>
  <c r="H287" i="68"/>
  <c r="K287" i="68" s="1"/>
  <c r="I286" i="68"/>
  <c r="H286" i="68"/>
  <c r="H285" i="68"/>
  <c r="K285" i="68" s="1"/>
  <c r="G285" i="68"/>
  <c r="H284" i="68"/>
  <c r="K284" i="68" s="1"/>
  <c r="G284" i="68"/>
  <c r="I283" i="68"/>
  <c r="H283" i="68"/>
  <c r="K282" i="68"/>
  <c r="H282" i="68"/>
  <c r="I281" i="68"/>
  <c r="H281" i="68"/>
  <c r="I280" i="68"/>
  <c r="H280" i="68"/>
  <c r="H279" i="68"/>
  <c r="K279" i="68" s="1"/>
  <c r="G279" i="68"/>
  <c r="H278" i="68"/>
  <c r="K278" i="68" s="1"/>
  <c r="G278" i="68"/>
  <c r="H277" i="68"/>
  <c r="K277" i="68" s="1"/>
  <c r="G277" i="68"/>
  <c r="H276" i="68"/>
  <c r="K276" i="68" s="1"/>
  <c r="G276" i="68"/>
  <c r="H275" i="68"/>
  <c r="K275" i="68" s="1"/>
  <c r="I274" i="68"/>
  <c r="H274" i="68"/>
  <c r="H273" i="68"/>
  <c r="K273" i="68" s="1"/>
  <c r="G273" i="68"/>
  <c r="I272" i="68"/>
  <c r="H272" i="68"/>
  <c r="G271" i="68"/>
  <c r="H271" i="68" s="1"/>
  <c r="K271" i="68" s="1"/>
  <c r="G270" i="68"/>
  <c r="H270" i="68" s="1"/>
  <c r="K270" i="68" s="1"/>
  <c r="I269" i="68"/>
  <c r="H269" i="68"/>
  <c r="H268" i="68"/>
  <c r="K268" i="68" s="1"/>
  <c r="G268" i="68"/>
  <c r="H267" i="68"/>
  <c r="K267" i="68" s="1"/>
  <c r="G267" i="68"/>
  <c r="H266" i="68"/>
  <c r="K266" i="68" s="1"/>
  <c r="G266" i="68"/>
  <c r="H265" i="68"/>
  <c r="K265" i="68" s="1"/>
  <c r="I264" i="68"/>
  <c r="H264" i="68"/>
  <c r="H263" i="68"/>
  <c r="K263" i="68" s="1"/>
  <c r="G263" i="68"/>
  <c r="I262" i="68"/>
  <c r="H262" i="68"/>
  <c r="I261" i="68"/>
  <c r="H261" i="68"/>
  <c r="H260" i="68"/>
  <c r="K260" i="68" s="1"/>
  <c r="G260" i="68"/>
  <c r="I259" i="68"/>
  <c r="H259" i="68"/>
  <c r="I258" i="68"/>
  <c r="H258" i="68"/>
  <c r="H257" i="68"/>
  <c r="K257" i="68" s="1"/>
  <c r="K256" i="68"/>
  <c r="G256" i="68"/>
  <c r="H256" i="68" s="1"/>
  <c r="K255" i="68"/>
  <c r="G255" i="68"/>
  <c r="H255" i="68" s="1"/>
  <c r="K254" i="68"/>
  <c r="G254" i="68"/>
  <c r="H254" i="68" s="1"/>
  <c r="K253" i="68"/>
  <c r="G253" i="68"/>
  <c r="H253" i="68" s="1"/>
  <c r="K252" i="68"/>
  <c r="H252" i="68"/>
  <c r="H251" i="68"/>
  <c r="K251" i="68" s="1"/>
  <c r="K250" i="68"/>
  <c r="H250" i="68"/>
  <c r="I249" i="68"/>
  <c r="H249" i="68"/>
  <c r="K248" i="68"/>
  <c r="G248" i="68"/>
  <c r="H248" i="68" s="1"/>
  <c r="H247" i="68"/>
  <c r="K247" i="68" s="1"/>
  <c r="K246" i="68"/>
  <c r="H246" i="68"/>
  <c r="H245" i="68"/>
  <c r="K245" i="68" s="1"/>
  <c r="G245" i="68"/>
  <c r="H244" i="68"/>
  <c r="K244" i="68" s="1"/>
  <c r="I243" i="68"/>
  <c r="H243" i="68"/>
  <c r="H242" i="68"/>
  <c r="K242" i="68" s="1"/>
  <c r="G242" i="68"/>
  <c r="H241" i="68"/>
  <c r="K241" i="68" s="1"/>
  <c r="G241" i="68"/>
  <c r="I240" i="68"/>
  <c r="H240" i="68"/>
  <c r="K239" i="68"/>
  <c r="H239" i="68"/>
  <c r="G238" i="68"/>
  <c r="H238" i="68" s="1"/>
  <c r="D237" i="68"/>
  <c r="G232" i="68"/>
  <c r="H232" i="68" s="1"/>
  <c r="I231" i="68"/>
  <c r="H231" i="68"/>
  <c r="K231" i="68" s="1"/>
  <c r="I230" i="68"/>
  <c r="H230" i="68"/>
  <c r="K230" i="68" s="1"/>
  <c r="H229" i="68"/>
  <c r="G229" i="68"/>
  <c r="G228" i="68"/>
  <c r="H228" i="68" s="1"/>
  <c r="H227" i="68"/>
  <c r="G227" i="68"/>
  <c r="G226" i="68"/>
  <c r="H226" i="68" s="1"/>
  <c r="H225" i="68"/>
  <c r="G225" i="68"/>
  <c r="G224" i="68"/>
  <c r="H224" i="68" s="1"/>
  <c r="I223" i="68"/>
  <c r="H223" i="68"/>
  <c r="K223" i="68" s="1"/>
  <c r="H222" i="68"/>
  <c r="H221" i="68"/>
  <c r="G221" i="68"/>
  <c r="G220" i="68"/>
  <c r="H220" i="68" s="1"/>
  <c r="H219" i="68"/>
  <c r="G219" i="68"/>
  <c r="I218" i="68"/>
  <c r="H218" i="68"/>
  <c r="K218" i="68" s="1"/>
  <c r="I217" i="68"/>
  <c r="H217" i="68"/>
  <c r="G216" i="68"/>
  <c r="H216" i="68" s="1"/>
  <c r="H215" i="68"/>
  <c r="G215" i="68"/>
  <c r="G214" i="68"/>
  <c r="H214" i="68" s="1"/>
  <c r="H213" i="68"/>
  <c r="G213" i="68"/>
  <c r="H212" i="68"/>
  <c r="G211" i="68"/>
  <c r="H211" i="68" s="1"/>
  <c r="H210" i="68"/>
  <c r="G210" i="68"/>
  <c r="G209" i="68"/>
  <c r="H209" i="68" s="1"/>
  <c r="H208" i="68"/>
  <c r="G208" i="68"/>
  <c r="G207" i="68"/>
  <c r="H207" i="68" s="1"/>
  <c r="H206" i="68"/>
  <c r="G206" i="68"/>
  <c r="H205" i="68"/>
  <c r="G204" i="68"/>
  <c r="H204" i="68" s="1"/>
  <c r="H203" i="68"/>
  <c r="H202" i="68"/>
  <c r="H201" i="68"/>
  <c r="G201" i="68"/>
  <c r="G200" i="68"/>
  <c r="H200" i="68" s="1"/>
  <c r="I199" i="68"/>
  <c r="H199" i="68"/>
  <c r="K199" i="68" s="1"/>
  <c r="H198" i="68"/>
  <c r="G198" i="68"/>
  <c r="G197" i="68"/>
  <c r="H197" i="68" s="1"/>
  <c r="H196" i="68"/>
  <c r="G196" i="68"/>
  <c r="G195" i="68"/>
  <c r="H195" i="68" s="1"/>
  <c r="I194" i="68"/>
  <c r="H194" i="68"/>
  <c r="K194" i="68" s="1"/>
  <c r="H193" i="68"/>
  <c r="G193" i="68"/>
  <c r="H192" i="68"/>
  <c r="G191" i="68"/>
  <c r="H191" i="68" s="1"/>
  <c r="H190" i="68"/>
  <c r="H189" i="68"/>
  <c r="G189" i="68"/>
  <c r="G188" i="68"/>
  <c r="H188" i="68" s="1"/>
  <c r="H187" i="68"/>
  <c r="G187" i="68"/>
  <c r="I186" i="68"/>
  <c r="I237" i="68" s="1"/>
  <c r="H186" i="68"/>
  <c r="K186" i="68" s="1"/>
  <c r="G185" i="68"/>
  <c r="H185" i="68" s="1"/>
  <c r="H184" i="68"/>
  <c r="G184" i="68"/>
  <c r="G183" i="68"/>
  <c r="H183" i="68" s="1"/>
  <c r="H182" i="68"/>
  <c r="G182" i="68"/>
  <c r="H181" i="68"/>
  <c r="D180" i="68"/>
  <c r="G176" i="68"/>
  <c r="H176" i="68" s="1"/>
  <c r="H175" i="68"/>
  <c r="H174" i="68"/>
  <c r="G174" i="68"/>
  <c r="I173" i="68"/>
  <c r="H173" i="68"/>
  <c r="K173" i="68" s="1"/>
  <c r="G172" i="68"/>
  <c r="H172" i="68" s="1"/>
  <c r="H171" i="68"/>
  <c r="G171" i="68"/>
  <c r="G170" i="68"/>
  <c r="H170" i="68" s="1"/>
  <c r="H169" i="68"/>
  <c r="G169" i="68"/>
  <c r="I168" i="68"/>
  <c r="H168" i="68"/>
  <c r="K168" i="68" s="1"/>
  <c r="I167" i="68"/>
  <c r="H167" i="68"/>
  <c r="K167" i="68" s="1"/>
  <c r="G166" i="68"/>
  <c r="H166" i="68" s="1"/>
  <c r="H165" i="68"/>
  <c r="G165" i="68"/>
  <c r="G164" i="68"/>
  <c r="H164" i="68" s="1"/>
  <c r="H163" i="68"/>
  <c r="G163" i="68"/>
  <c r="G162" i="68"/>
  <c r="H162" i="68" s="1"/>
  <c r="H161" i="68"/>
  <c r="G161" i="68"/>
  <c r="G160" i="68"/>
  <c r="H160" i="68" s="1"/>
  <c r="H159" i="68"/>
  <c r="G159" i="68"/>
  <c r="G158" i="68"/>
  <c r="H158" i="68" s="1"/>
  <c r="H157" i="68"/>
  <c r="H156" i="68"/>
  <c r="H155" i="68"/>
  <c r="G155" i="68"/>
  <c r="G154" i="68"/>
  <c r="H154" i="68" s="1"/>
  <c r="I153" i="68"/>
  <c r="H153" i="68"/>
  <c r="K153" i="68" s="1"/>
  <c r="H152" i="68"/>
  <c r="G152" i="68"/>
  <c r="I151" i="68"/>
  <c r="H151" i="68"/>
  <c r="K151" i="68" s="1"/>
  <c r="G150" i="68"/>
  <c r="H150" i="68" s="1"/>
  <c r="H149" i="68"/>
  <c r="H148" i="68"/>
  <c r="G148" i="68"/>
  <c r="H147" i="68"/>
  <c r="G146" i="68"/>
  <c r="H146" i="68" s="1"/>
  <c r="H145" i="68"/>
  <c r="G145" i="68"/>
  <c r="H144" i="68"/>
  <c r="H143" i="68"/>
  <c r="G142" i="68"/>
  <c r="H142" i="68" s="1"/>
  <c r="I141" i="68"/>
  <c r="H141" i="68"/>
  <c r="K141" i="68" s="1"/>
  <c r="H140" i="68"/>
  <c r="G140" i="68"/>
  <c r="G139" i="68"/>
  <c r="H139" i="68" s="1"/>
  <c r="H138" i="68"/>
  <c r="G138" i="68"/>
  <c r="G137" i="68"/>
  <c r="H137" i="68" s="1"/>
  <c r="I136" i="68"/>
  <c r="H136" i="68"/>
  <c r="K136" i="68" s="1"/>
  <c r="H135" i="68"/>
  <c r="G135" i="68"/>
  <c r="G134" i="68"/>
  <c r="H134" i="68" s="1"/>
  <c r="H133" i="68"/>
  <c r="G133" i="68"/>
  <c r="G132" i="68"/>
  <c r="H132" i="68" s="1"/>
  <c r="I131" i="68"/>
  <c r="H131" i="68"/>
  <c r="K131" i="68" s="1"/>
  <c r="I130" i="68"/>
  <c r="H130" i="68"/>
  <c r="K130" i="68" s="1"/>
  <c r="G129" i="68"/>
  <c r="H129" i="68" s="1"/>
  <c r="H128" i="68"/>
  <c r="G128" i="68"/>
  <c r="H127" i="68"/>
  <c r="I126" i="68"/>
  <c r="H126" i="68"/>
  <c r="K126" i="68" s="1"/>
  <c r="G125" i="68"/>
  <c r="H125" i="68" s="1"/>
  <c r="H124" i="68"/>
  <c r="H123" i="68"/>
  <c r="G123" i="68"/>
  <c r="G122" i="68"/>
  <c r="H122" i="68" s="1"/>
  <c r="H121" i="68"/>
  <c r="D120" i="68"/>
  <c r="D308" i="68" s="1"/>
  <c r="H115" i="68"/>
  <c r="H114" i="68"/>
  <c r="I113" i="68"/>
  <c r="H113" i="68"/>
  <c r="K113" i="68" s="1"/>
  <c r="I112" i="68"/>
  <c r="H112" i="68"/>
  <c r="K112" i="68" s="1"/>
  <c r="G111" i="68"/>
  <c r="H111" i="68" s="1"/>
  <c r="H110" i="68"/>
  <c r="G110" i="68"/>
  <c r="H109" i="68"/>
  <c r="G109" i="68"/>
  <c r="H108" i="68"/>
  <c r="G108" i="68"/>
  <c r="G107" i="68"/>
  <c r="H107" i="68" s="1"/>
  <c r="I106" i="68"/>
  <c r="H106" i="68"/>
  <c r="K106" i="68" s="1"/>
  <c r="H105" i="68"/>
  <c r="G105" i="68"/>
  <c r="G104" i="68"/>
  <c r="H104" i="68" s="1"/>
  <c r="H103" i="68"/>
  <c r="G103" i="68"/>
  <c r="G102" i="68"/>
  <c r="H102" i="68" s="1"/>
  <c r="H101" i="68"/>
  <c r="G101" i="68"/>
  <c r="H100" i="68"/>
  <c r="G100" i="68"/>
  <c r="H99" i="68"/>
  <c r="I98" i="68"/>
  <c r="H98" i="68"/>
  <c r="K98" i="68" s="1"/>
  <c r="G97" i="68"/>
  <c r="H97" i="68" s="1"/>
  <c r="I96" i="68"/>
  <c r="H96" i="68"/>
  <c r="K96" i="68" s="1"/>
  <c r="H95" i="68"/>
  <c r="H94" i="68"/>
  <c r="G94" i="68"/>
  <c r="I93" i="68"/>
  <c r="H93" i="68"/>
  <c r="K93" i="68" s="1"/>
  <c r="I92" i="68"/>
  <c r="H92" i="68"/>
  <c r="K92" i="68" s="1"/>
  <c r="G91" i="68"/>
  <c r="H91" i="68" s="1"/>
  <c r="H90" i="68"/>
  <c r="G90" i="68"/>
  <c r="G89" i="68"/>
  <c r="H89" i="68" s="1"/>
  <c r="H88" i="68"/>
  <c r="G87" i="68"/>
  <c r="H87" i="68" s="1"/>
  <c r="I86" i="68"/>
  <c r="H86" i="68"/>
  <c r="K86" i="68" s="1"/>
  <c r="H85" i="68"/>
  <c r="G85" i="68"/>
  <c r="G84" i="68"/>
  <c r="H84" i="68" s="1"/>
  <c r="H83" i="68"/>
  <c r="H82" i="68"/>
  <c r="G82" i="68"/>
  <c r="H81" i="68"/>
  <c r="I80" i="68"/>
  <c r="H80" i="68"/>
  <c r="K80" i="68" s="1"/>
  <c r="G79" i="68"/>
  <c r="H79" i="68" s="1"/>
  <c r="H78" i="68"/>
  <c r="I77" i="68"/>
  <c r="H77" i="68"/>
  <c r="K77" i="68" s="1"/>
  <c r="H76" i="68"/>
  <c r="G76" i="68"/>
  <c r="G75" i="68"/>
  <c r="H75" i="68" s="1"/>
  <c r="H74" i="68"/>
  <c r="G74" i="68"/>
  <c r="G73" i="68"/>
  <c r="H73" i="68" s="1"/>
  <c r="I72" i="68"/>
  <c r="H72" i="68"/>
  <c r="K72" i="68" s="1"/>
  <c r="H71" i="68"/>
  <c r="G71" i="68"/>
  <c r="G70" i="68"/>
  <c r="H70" i="68" s="1"/>
  <c r="I69" i="68"/>
  <c r="H69" i="68"/>
  <c r="K69" i="68" s="1"/>
  <c r="H68" i="68"/>
  <c r="G68" i="68"/>
  <c r="H67" i="68"/>
  <c r="G67" i="68"/>
  <c r="G66" i="68"/>
  <c r="H66" i="68" s="1"/>
  <c r="H65" i="68"/>
  <c r="H64" i="68"/>
  <c r="G64" i="68"/>
  <c r="G63" i="68"/>
  <c r="H63" i="68" s="1"/>
  <c r="I62" i="68"/>
  <c r="H62" i="68"/>
  <c r="K62" i="68" s="1"/>
  <c r="H61" i="68"/>
  <c r="H60" i="68"/>
  <c r="G60" i="68"/>
  <c r="G59" i="68"/>
  <c r="H59" i="68" s="1"/>
  <c r="H58" i="68"/>
  <c r="G58" i="68"/>
  <c r="H57" i="68"/>
  <c r="G57" i="68"/>
  <c r="I56" i="68"/>
  <c r="H56" i="68"/>
  <c r="H55" i="68"/>
  <c r="I54" i="68"/>
  <c r="H54" i="68"/>
  <c r="K54" i="68" s="1"/>
  <c r="G53" i="68"/>
  <c r="H53" i="68" s="1"/>
  <c r="H52" i="68"/>
  <c r="H51" i="68"/>
  <c r="G51" i="68"/>
  <c r="G50" i="68"/>
  <c r="H50" i="68" s="1"/>
  <c r="I49" i="68"/>
  <c r="H49" i="68"/>
  <c r="K49" i="68" s="1"/>
  <c r="H48" i="68"/>
  <c r="H47" i="68"/>
  <c r="H46" i="68"/>
  <c r="G46" i="68"/>
  <c r="I45" i="68"/>
  <c r="H45" i="68"/>
  <c r="K45" i="68" s="1"/>
  <c r="H44" i="68"/>
  <c r="G43" i="68"/>
  <c r="H43" i="68" s="1"/>
  <c r="H42" i="68"/>
  <c r="G42" i="68"/>
  <c r="J36" i="68"/>
  <c r="E34" i="68"/>
  <c r="E33" i="68"/>
  <c r="E32" i="68"/>
  <c r="E27" i="68"/>
  <c r="J26" i="68"/>
  <c r="E26" i="68"/>
  <c r="E25" i="68"/>
  <c r="E20" i="68"/>
  <c r="E19" i="68"/>
  <c r="E18" i="68"/>
  <c r="E13" i="68"/>
  <c r="E12" i="68"/>
  <c r="E11" i="68"/>
  <c r="F313" i="67"/>
  <c r="E313" i="67"/>
  <c r="D313" i="67"/>
  <c r="G312" i="67"/>
  <c r="G311" i="67"/>
  <c r="G310" i="67"/>
  <c r="G309" i="67"/>
  <c r="G308" i="67"/>
  <c r="G307" i="67"/>
  <c r="G306" i="67"/>
  <c r="G305" i="67"/>
  <c r="G304" i="67"/>
  <c r="G303" i="67"/>
  <c r="G302" i="67"/>
  <c r="G301" i="67"/>
  <c r="G300" i="67"/>
  <c r="G299" i="67"/>
  <c r="G298" i="67"/>
  <c r="G313" i="67" s="1"/>
  <c r="F293" i="67"/>
  <c r="D292" i="67"/>
  <c r="G291" i="67"/>
  <c r="H291" i="67" s="1"/>
  <c r="K291" i="67" s="1"/>
  <c r="I290" i="67"/>
  <c r="H290" i="67"/>
  <c r="H289" i="67"/>
  <c r="K289" i="67" s="1"/>
  <c r="G289" i="67"/>
  <c r="H288" i="67"/>
  <c r="K288" i="67" s="1"/>
  <c r="G288" i="67"/>
  <c r="H287" i="67"/>
  <c r="K287" i="67" s="1"/>
  <c r="G287" i="67"/>
  <c r="I286" i="67"/>
  <c r="H286" i="67"/>
  <c r="I285" i="67"/>
  <c r="H285" i="67"/>
  <c r="I284" i="67"/>
  <c r="H284" i="67"/>
  <c r="G283" i="67"/>
  <c r="H283" i="67" s="1"/>
  <c r="K283" i="67" s="1"/>
  <c r="K282" i="67"/>
  <c r="H282" i="67"/>
  <c r="H281" i="67"/>
  <c r="K281" i="67" s="1"/>
  <c r="G281" i="67"/>
  <c r="I280" i="67"/>
  <c r="H280" i="67"/>
  <c r="G279" i="67"/>
  <c r="H279" i="67" s="1"/>
  <c r="K279" i="67" s="1"/>
  <c r="I278" i="67"/>
  <c r="H278" i="67"/>
  <c r="H277" i="67"/>
  <c r="K277" i="67" s="1"/>
  <c r="G277" i="67"/>
  <c r="H276" i="67"/>
  <c r="K276" i="67" s="1"/>
  <c r="I275" i="67"/>
  <c r="H275" i="67"/>
  <c r="H274" i="67"/>
  <c r="K274" i="67" s="1"/>
  <c r="G274" i="67"/>
  <c r="H273" i="67"/>
  <c r="K273" i="67" s="1"/>
  <c r="G273" i="67"/>
  <c r="I272" i="67"/>
  <c r="H272" i="67"/>
  <c r="K271" i="67"/>
  <c r="H271" i="67"/>
  <c r="I270" i="67"/>
  <c r="H270" i="67"/>
  <c r="I269" i="67"/>
  <c r="H269" i="67"/>
  <c r="H268" i="67"/>
  <c r="K268" i="67" s="1"/>
  <c r="G268" i="67"/>
  <c r="H267" i="67"/>
  <c r="K267" i="67" s="1"/>
  <c r="G267" i="67"/>
  <c r="H266" i="67"/>
  <c r="K266" i="67" s="1"/>
  <c r="G266" i="67"/>
  <c r="H265" i="67"/>
  <c r="K265" i="67" s="1"/>
  <c r="G265" i="67"/>
  <c r="H264" i="67"/>
  <c r="K264" i="67" s="1"/>
  <c r="I263" i="67"/>
  <c r="H263" i="67"/>
  <c r="H262" i="67"/>
  <c r="K262" i="67" s="1"/>
  <c r="G262" i="67"/>
  <c r="I261" i="67"/>
  <c r="H261" i="67"/>
  <c r="G260" i="67"/>
  <c r="H260" i="67" s="1"/>
  <c r="K260" i="67" s="1"/>
  <c r="G259" i="67"/>
  <c r="H259" i="67" s="1"/>
  <c r="K259" i="67" s="1"/>
  <c r="I258" i="67"/>
  <c r="H258" i="67"/>
  <c r="H257" i="67"/>
  <c r="K257" i="67" s="1"/>
  <c r="G257" i="67"/>
  <c r="H256" i="67"/>
  <c r="K256" i="67" s="1"/>
  <c r="G256" i="67"/>
  <c r="H255" i="67"/>
  <c r="K255" i="67" s="1"/>
  <c r="G255" i="67"/>
  <c r="H254" i="67"/>
  <c r="K254" i="67" s="1"/>
  <c r="I253" i="67"/>
  <c r="H253" i="67"/>
  <c r="H252" i="67"/>
  <c r="K252" i="67" s="1"/>
  <c r="G252" i="67"/>
  <c r="I251" i="67"/>
  <c r="H251" i="67"/>
  <c r="I250" i="67"/>
  <c r="H250" i="67"/>
  <c r="H249" i="67"/>
  <c r="K249" i="67" s="1"/>
  <c r="G249" i="67"/>
  <c r="I248" i="67"/>
  <c r="H248" i="67"/>
  <c r="I247" i="67"/>
  <c r="H247" i="67"/>
  <c r="H246" i="67"/>
  <c r="K246" i="67" s="1"/>
  <c r="G245" i="67"/>
  <c r="H245" i="67" s="1"/>
  <c r="K245" i="67" s="1"/>
  <c r="G244" i="67"/>
  <c r="H244" i="67" s="1"/>
  <c r="K244" i="67" s="1"/>
  <c r="G243" i="67"/>
  <c r="H243" i="67" s="1"/>
  <c r="K243" i="67" s="1"/>
  <c r="G242" i="67"/>
  <c r="H242" i="67" s="1"/>
  <c r="K242" i="67" s="1"/>
  <c r="K241" i="67"/>
  <c r="H241" i="67"/>
  <c r="H240" i="67"/>
  <c r="K240" i="67" s="1"/>
  <c r="K239" i="67"/>
  <c r="H239" i="67"/>
  <c r="I238" i="67"/>
  <c r="H238" i="67"/>
  <c r="G237" i="67"/>
  <c r="H237" i="67" s="1"/>
  <c r="K237" i="67" s="1"/>
  <c r="K236" i="67"/>
  <c r="H236" i="67"/>
  <c r="H235" i="67"/>
  <c r="K235" i="67" s="1"/>
  <c r="G234" i="67"/>
  <c r="H234" i="67" s="1"/>
  <c r="K234" i="67" s="1"/>
  <c r="K233" i="67"/>
  <c r="H233" i="67"/>
  <c r="I232" i="67"/>
  <c r="H232" i="67"/>
  <c r="G231" i="67"/>
  <c r="H231" i="67" s="1"/>
  <c r="K231" i="67" s="1"/>
  <c r="G230" i="67"/>
  <c r="H230" i="67" s="1"/>
  <c r="K230" i="67" s="1"/>
  <c r="I229" i="67"/>
  <c r="H229" i="67"/>
  <c r="I228" i="67"/>
  <c r="I292" i="67" s="1"/>
  <c r="H228" i="67"/>
  <c r="G227" i="67"/>
  <c r="H227" i="67" s="1"/>
  <c r="D226" i="67"/>
  <c r="H225" i="67"/>
  <c r="K225" i="67" s="1"/>
  <c r="G225" i="67"/>
  <c r="I224" i="67"/>
  <c r="H224" i="67"/>
  <c r="I223" i="67"/>
  <c r="H223" i="67"/>
  <c r="H222" i="67"/>
  <c r="K222" i="67" s="1"/>
  <c r="G222" i="67"/>
  <c r="H221" i="67"/>
  <c r="K221" i="67" s="1"/>
  <c r="G221" i="67"/>
  <c r="H220" i="67"/>
  <c r="K220" i="67" s="1"/>
  <c r="G220" i="67"/>
  <c r="H219" i="67"/>
  <c r="K219" i="67" s="1"/>
  <c r="G219" i="67"/>
  <c r="H218" i="67"/>
  <c r="K218" i="67" s="1"/>
  <c r="G218" i="67"/>
  <c r="H217" i="67"/>
  <c r="K217" i="67" s="1"/>
  <c r="G217" i="67"/>
  <c r="I216" i="67"/>
  <c r="H216" i="67"/>
  <c r="K215" i="67"/>
  <c r="H215" i="67"/>
  <c r="H214" i="67"/>
  <c r="K214" i="67" s="1"/>
  <c r="G214" i="67"/>
  <c r="H213" i="67"/>
  <c r="K213" i="67" s="1"/>
  <c r="G213" i="67"/>
  <c r="H212" i="67"/>
  <c r="K212" i="67" s="1"/>
  <c r="G212" i="67"/>
  <c r="I211" i="67"/>
  <c r="H211" i="67"/>
  <c r="I210" i="67"/>
  <c r="H210" i="67"/>
  <c r="H209" i="67"/>
  <c r="K209" i="67" s="1"/>
  <c r="G209" i="67"/>
  <c r="H208" i="67"/>
  <c r="K208" i="67" s="1"/>
  <c r="G208" i="67"/>
  <c r="H207" i="67"/>
  <c r="K207" i="67" s="1"/>
  <c r="G207" i="67"/>
  <c r="H206" i="67"/>
  <c r="K206" i="67" s="1"/>
  <c r="G206" i="67"/>
  <c r="H205" i="67"/>
  <c r="K205" i="67" s="1"/>
  <c r="G204" i="67"/>
  <c r="H204" i="67" s="1"/>
  <c r="K204" i="67" s="1"/>
  <c r="G203" i="67"/>
  <c r="H203" i="67" s="1"/>
  <c r="K203" i="67" s="1"/>
  <c r="G202" i="67"/>
  <c r="H202" i="67" s="1"/>
  <c r="K202" i="67" s="1"/>
  <c r="G201" i="67"/>
  <c r="H201" i="67" s="1"/>
  <c r="K201" i="67" s="1"/>
  <c r="G200" i="67"/>
  <c r="H200" i="67" s="1"/>
  <c r="K200" i="67" s="1"/>
  <c r="G199" i="67"/>
  <c r="H199" i="67" s="1"/>
  <c r="K199" i="67" s="1"/>
  <c r="K198" i="67"/>
  <c r="H198" i="67"/>
  <c r="H197" i="67"/>
  <c r="K197" i="67" s="1"/>
  <c r="G197" i="67"/>
  <c r="H196" i="67"/>
  <c r="K196" i="67" s="1"/>
  <c r="K195" i="67"/>
  <c r="H195" i="67"/>
  <c r="H194" i="67"/>
  <c r="K194" i="67" s="1"/>
  <c r="G194" i="67"/>
  <c r="H193" i="67"/>
  <c r="K193" i="67" s="1"/>
  <c r="G193" i="67"/>
  <c r="I192" i="67"/>
  <c r="H192" i="67"/>
  <c r="G191" i="67"/>
  <c r="H191" i="67" s="1"/>
  <c r="K191" i="67" s="1"/>
  <c r="G190" i="67"/>
  <c r="H190" i="67" s="1"/>
  <c r="K190" i="67" s="1"/>
  <c r="G189" i="67"/>
  <c r="H189" i="67" s="1"/>
  <c r="K189" i="67" s="1"/>
  <c r="G188" i="67"/>
  <c r="H188" i="67" s="1"/>
  <c r="K188" i="67" s="1"/>
  <c r="I187" i="67"/>
  <c r="H187" i="67"/>
  <c r="H186" i="67"/>
  <c r="K186" i="67" s="1"/>
  <c r="G186" i="67"/>
  <c r="H185" i="67"/>
  <c r="K185" i="67" s="1"/>
  <c r="G184" i="67"/>
  <c r="H184" i="67" s="1"/>
  <c r="K184" i="67" s="1"/>
  <c r="K183" i="67"/>
  <c r="H183" i="67"/>
  <c r="H182" i="67"/>
  <c r="K182" i="67" s="1"/>
  <c r="G182" i="67"/>
  <c r="H181" i="67"/>
  <c r="K181" i="67" s="1"/>
  <c r="G181" i="67"/>
  <c r="H180" i="67"/>
  <c r="K180" i="67" s="1"/>
  <c r="G180" i="67"/>
  <c r="I179" i="67"/>
  <c r="I226" i="67" s="1"/>
  <c r="H179" i="67"/>
  <c r="K178" i="67"/>
  <c r="G178" i="67"/>
  <c r="H178" i="67" s="1"/>
  <c r="K177" i="67"/>
  <c r="G177" i="67"/>
  <c r="H177" i="67" s="1"/>
  <c r="K176" i="67"/>
  <c r="G176" i="67"/>
  <c r="H176" i="67" s="1"/>
  <c r="K175" i="67"/>
  <c r="G175" i="67"/>
  <c r="H175" i="67" s="1"/>
  <c r="K174" i="67"/>
  <c r="H174" i="67"/>
  <c r="D173" i="67"/>
  <c r="G172" i="67"/>
  <c r="H172" i="67" s="1"/>
  <c r="K172" i="67" s="1"/>
  <c r="K171" i="67"/>
  <c r="H171" i="67"/>
  <c r="H170" i="67"/>
  <c r="K170" i="67" s="1"/>
  <c r="G170" i="67"/>
  <c r="I169" i="67"/>
  <c r="H169" i="67"/>
  <c r="K168" i="67"/>
  <c r="G168" i="67"/>
  <c r="H168" i="67" s="1"/>
  <c r="K167" i="67"/>
  <c r="G167" i="67"/>
  <c r="H167" i="67" s="1"/>
  <c r="K166" i="67"/>
  <c r="G166" i="67"/>
  <c r="H166" i="67" s="1"/>
  <c r="K165" i="67"/>
  <c r="G165" i="67"/>
  <c r="H165" i="67" s="1"/>
  <c r="I164" i="67"/>
  <c r="H164" i="67"/>
  <c r="I163" i="67"/>
  <c r="H163" i="67"/>
  <c r="G162" i="67"/>
  <c r="H162" i="67" s="1"/>
  <c r="K162" i="67" s="1"/>
  <c r="G161" i="67"/>
  <c r="H161" i="67" s="1"/>
  <c r="K161" i="67" s="1"/>
  <c r="G160" i="67"/>
  <c r="H160" i="67" s="1"/>
  <c r="K160" i="67" s="1"/>
  <c r="G159" i="67"/>
  <c r="H159" i="67" s="1"/>
  <c r="K159" i="67" s="1"/>
  <c r="G158" i="67"/>
  <c r="H158" i="67" s="1"/>
  <c r="K158" i="67" s="1"/>
  <c r="G157" i="67"/>
  <c r="H157" i="67" s="1"/>
  <c r="K157" i="67" s="1"/>
  <c r="G156" i="67"/>
  <c r="H156" i="67" s="1"/>
  <c r="K156" i="67" s="1"/>
  <c r="G155" i="67"/>
  <c r="H155" i="67" s="1"/>
  <c r="K155" i="67" s="1"/>
  <c r="G154" i="67"/>
  <c r="H154" i="67" s="1"/>
  <c r="K154" i="67" s="1"/>
  <c r="K153" i="67"/>
  <c r="H153" i="67"/>
  <c r="H152" i="67"/>
  <c r="K152" i="67" s="1"/>
  <c r="G151" i="67"/>
  <c r="H151" i="67" s="1"/>
  <c r="K151" i="67" s="1"/>
  <c r="G150" i="67"/>
  <c r="H150" i="67" s="1"/>
  <c r="K150" i="67" s="1"/>
  <c r="I149" i="67"/>
  <c r="H149" i="67"/>
  <c r="H148" i="67"/>
  <c r="K148" i="67" s="1"/>
  <c r="G148" i="67"/>
  <c r="I147" i="67"/>
  <c r="H147" i="67"/>
  <c r="G146" i="67"/>
  <c r="H146" i="67" s="1"/>
  <c r="K146" i="67" s="1"/>
  <c r="K145" i="67"/>
  <c r="H145" i="67"/>
  <c r="H144" i="67"/>
  <c r="K144" i="67" s="1"/>
  <c r="G144" i="67"/>
  <c r="H143" i="67"/>
  <c r="K143" i="67" s="1"/>
  <c r="K142" i="67"/>
  <c r="G142" i="67"/>
  <c r="H142" i="67" s="1"/>
  <c r="K141" i="67"/>
  <c r="G141" i="67"/>
  <c r="H141" i="67" s="1"/>
  <c r="K140" i="67"/>
  <c r="H140" i="67"/>
  <c r="H139" i="67"/>
  <c r="K139" i="67" s="1"/>
  <c r="K138" i="67"/>
  <c r="G138" i="67"/>
  <c r="H138" i="67" s="1"/>
  <c r="I137" i="67"/>
  <c r="H137" i="67"/>
  <c r="H136" i="67"/>
  <c r="K136" i="67" s="1"/>
  <c r="G136" i="67"/>
  <c r="H135" i="67"/>
  <c r="K135" i="67" s="1"/>
  <c r="G135" i="67"/>
  <c r="H134" i="67"/>
  <c r="K134" i="67" s="1"/>
  <c r="G134" i="67"/>
  <c r="H133" i="67"/>
  <c r="K133" i="67" s="1"/>
  <c r="G133" i="67"/>
  <c r="I132" i="67"/>
  <c r="H132" i="67"/>
  <c r="G131" i="67"/>
  <c r="H131" i="67" s="1"/>
  <c r="K131" i="67" s="1"/>
  <c r="G130" i="67"/>
  <c r="H130" i="67" s="1"/>
  <c r="K130" i="67" s="1"/>
  <c r="G129" i="67"/>
  <c r="H129" i="67" s="1"/>
  <c r="K129" i="67" s="1"/>
  <c r="G128" i="67"/>
  <c r="H128" i="67" s="1"/>
  <c r="K128" i="67" s="1"/>
  <c r="I127" i="67"/>
  <c r="I173" i="67" s="1"/>
  <c r="J19" i="67" s="1"/>
  <c r="H127" i="67"/>
  <c r="I126" i="67"/>
  <c r="H126" i="67"/>
  <c r="K125" i="67"/>
  <c r="G125" i="67"/>
  <c r="H125" i="67" s="1"/>
  <c r="K124" i="67"/>
  <c r="G124" i="67"/>
  <c r="H124" i="67" s="1"/>
  <c r="K123" i="67"/>
  <c r="H123" i="67"/>
  <c r="I122" i="67"/>
  <c r="H122" i="67"/>
  <c r="K121" i="67"/>
  <c r="G121" i="67"/>
  <c r="H121" i="67" s="1"/>
  <c r="K120" i="67"/>
  <c r="H120" i="67"/>
  <c r="H119" i="67"/>
  <c r="K119" i="67" s="1"/>
  <c r="G119" i="67"/>
  <c r="H118" i="67"/>
  <c r="K118" i="67" s="1"/>
  <c r="G118" i="67"/>
  <c r="H117" i="67"/>
  <c r="D116" i="67"/>
  <c r="D293" i="67" s="1"/>
  <c r="H115" i="67"/>
  <c r="K115" i="67" s="1"/>
  <c r="K114" i="67"/>
  <c r="H114" i="67"/>
  <c r="I113" i="67"/>
  <c r="H113" i="67"/>
  <c r="I112" i="67"/>
  <c r="H112" i="67"/>
  <c r="H111" i="67"/>
  <c r="K111" i="67" s="1"/>
  <c r="G111" i="67"/>
  <c r="H110" i="67"/>
  <c r="K110" i="67" s="1"/>
  <c r="G110" i="67"/>
  <c r="H109" i="67"/>
  <c r="K109" i="67" s="1"/>
  <c r="G109" i="67"/>
  <c r="E108" i="67"/>
  <c r="E293" i="67" s="1"/>
  <c r="G293" i="67" s="1"/>
  <c r="G107" i="67"/>
  <c r="H107" i="67" s="1"/>
  <c r="K107" i="67" s="1"/>
  <c r="I106" i="67"/>
  <c r="H106" i="67"/>
  <c r="H105" i="67"/>
  <c r="K105" i="67" s="1"/>
  <c r="G105" i="67"/>
  <c r="H104" i="67"/>
  <c r="K104" i="67" s="1"/>
  <c r="G104" i="67"/>
  <c r="H103" i="67"/>
  <c r="K103" i="67" s="1"/>
  <c r="G103" i="67"/>
  <c r="H102" i="67"/>
  <c r="K102" i="67" s="1"/>
  <c r="G102" i="67"/>
  <c r="H101" i="67"/>
  <c r="K101" i="67" s="1"/>
  <c r="G101" i="67"/>
  <c r="H100" i="67"/>
  <c r="K100" i="67" s="1"/>
  <c r="G100" i="67"/>
  <c r="H99" i="67"/>
  <c r="K99" i="67" s="1"/>
  <c r="I98" i="67"/>
  <c r="H98" i="67"/>
  <c r="H97" i="67"/>
  <c r="K97" i="67" s="1"/>
  <c r="G97" i="67"/>
  <c r="I96" i="67"/>
  <c r="H96" i="67"/>
  <c r="K95" i="67"/>
  <c r="H95" i="67"/>
  <c r="H94" i="67"/>
  <c r="K94" i="67" s="1"/>
  <c r="G94" i="67"/>
  <c r="I93" i="67"/>
  <c r="H93" i="67"/>
  <c r="I92" i="67"/>
  <c r="H92" i="67"/>
  <c r="H91" i="67"/>
  <c r="K91" i="67" s="1"/>
  <c r="G91" i="67"/>
  <c r="H90" i="67"/>
  <c r="K90" i="67" s="1"/>
  <c r="G90" i="67"/>
  <c r="H89" i="67"/>
  <c r="K89" i="67" s="1"/>
  <c r="G89" i="67"/>
  <c r="H88" i="67"/>
  <c r="K88" i="67" s="1"/>
  <c r="G87" i="67"/>
  <c r="H87" i="67" s="1"/>
  <c r="K87" i="67" s="1"/>
  <c r="I86" i="67"/>
  <c r="H86" i="67"/>
  <c r="H85" i="67"/>
  <c r="K85" i="67" s="1"/>
  <c r="G85" i="67"/>
  <c r="H84" i="67"/>
  <c r="K84" i="67" s="1"/>
  <c r="G84" i="67"/>
  <c r="H83" i="67"/>
  <c r="K83" i="67" s="1"/>
  <c r="G82" i="67"/>
  <c r="H82" i="67" s="1"/>
  <c r="K82" i="67" s="1"/>
  <c r="K81" i="67"/>
  <c r="H81" i="67"/>
  <c r="I80" i="67"/>
  <c r="H80" i="67"/>
  <c r="G79" i="67"/>
  <c r="H79" i="67" s="1"/>
  <c r="K79" i="67" s="1"/>
  <c r="K78" i="67"/>
  <c r="H78" i="67"/>
  <c r="I77" i="67"/>
  <c r="H77" i="67"/>
  <c r="G76" i="67"/>
  <c r="H76" i="67" s="1"/>
  <c r="K76" i="67" s="1"/>
  <c r="G75" i="67"/>
  <c r="H75" i="67" s="1"/>
  <c r="K75" i="67" s="1"/>
  <c r="G74" i="67"/>
  <c r="H74" i="67" s="1"/>
  <c r="K74" i="67" s="1"/>
  <c r="G73" i="67"/>
  <c r="H73" i="67" s="1"/>
  <c r="K73" i="67" s="1"/>
  <c r="I72" i="67"/>
  <c r="H72" i="67"/>
  <c r="H71" i="67"/>
  <c r="K71" i="67" s="1"/>
  <c r="G71" i="67"/>
  <c r="H70" i="67"/>
  <c r="K70" i="67" s="1"/>
  <c r="G70" i="67"/>
  <c r="I69" i="67"/>
  <c r="H69" i="67"/>
  <c r="G68" i="67"/>
  <c r="H68" i="67" s="1"/>
  <c r="K68" i="67" s="1"/>
  <c r="G67" i="67"/>
  <c r="H67" i="67" s="1"/>
  <c r="K67" i="67" s="1"/>
  <c r="G66" i="67"/>
  <c r="H66" i="67" s="1"/>
  <c r="K66" i="67" s="1"/>
  <c r="K65" i="67"/>
  <c r="H65" i="67"/>
  <c r="H64" i="67"/>
  <c r="K64" i="67" s="1"/>
  <c r="G64" i="67"/>
  <c r="H63" i="67"/>
  <c r="K63" i="67" s="1"/>
  <c r="G63" i="67"/>
  <c r="I62" i="67"/>
  <c r="H62" i="67"/>
  <c r="K61" i="67"/>
  <c r="H61" i="67"/>
  <c r="H60" i="67"/>
  <c r="K60" i="67" s="1"/>
  <c r="G60" i="67"/>
  <c r="H59" i="67"/>
  <c r="K59" i="67" s="1"/>
  <c r="G59" i="67"/>
  <c r="H58" i="67"/>
  <c r="K58" i="67" s="1"/>
  <c r="G58" i="67"/>
  <c r="H57" i="67"/>
  <c r="K57" i="67" s="1"/>
  <c r="G57" i="67"/>
  <c r="I56" i="67"/>
  <c r="H56" i="67"/>
  <c r="K55" i="67"/>
  <c r="H55" i="67"/>
  <c r="I54" i="67"/>
  <c r="H54" i="67"/>
  <c r="G53" i="67"/>
  <c r="H53" i="67" s="1"/>
  <c r="K53" i="67" s="1"/>
  <c r="K52" i="67"/>
  <c r="H52" i="67"/>
  <c r="H51" i="67"/>
  <c r="K51" i="67" s="1"/>
  <c r="G51" i="67"/>
  <c r="H50" i="67"/>
  <c r="K50" i="67" s="1"/>
  <c r="G50" i="67"/>
  <c r="I49" i="67"/>
  <c r="H49" i="67"/>
  <c r="K48" i="67"/>
  <c r="H48" i="67"/>
  <c r="H47" i="67"/>
  <c r="K47" i="67" s="1"/>
  <c r="G46" i="67"/>
  <c r="H46" i="67" s="1"/>
  <c r="K46" i="67" s="1"/>
  <c r="I116" i="67"/>
  <c r="H45" i="67"/>
  <c r="H44" i="67"/>
  <c r="K44" i="67" s="1"/>
  <c r="G43" i="67"/>
  <c r="H43" i="67" s="1"/>
  <c r="K43" i="67" s="1"/>
  <c r="G42" i="67"/>
  <c r="J36" i="67"/>
  <c r="E34" i="67"/>
  <c r="J33" i="67"/>
  <c r="E33" i="67"/>
  <c r="E32" i="67"/>
  <c r="E27" i="67"/>
  <c r="J26" i="67"/>
  <c r="E26" i="67"/>
  <c r="E25" i="67"/>
  <c r="E20" i="67"/>
  <c r="E19" i="67"/>
  <c r="E18" i="67"/>
  <c r="E13" i="67"/>
  <c r="J12" i="67"/>
  <c r="E12" i="67"/>
  <c r="E11" i="67"/>
  <c r="F313" i="66"/>
  <c r="E313" i="66"/>
  <c r="D313" i="66"/>
  <c r="G312" i="66"/>
  <c r="G311" i="66"/>
  <c r="G310" i="66"/>
  <c r="G309" i="66"/>
  <c r="G308" i="66"/>
  <c r="G307" i="66"/>
  <c r="G306" i="66"/>
  <c r="G305" i="66"/>
  <c r="G304" i="66"/>
  <c r="G303" i="66"/>
  <c r="G302" i="66"/>
  <c r="G301" i="66"/>
  <c r="G300" i="66"/>
  <c r="G299" i="66"/>
  <c r="G298" i="66"/>
  <c r="G313" i="66" s="1"/>
  <c r="D292" i="66"/>
  <c r="H291" i="66"/>
  <c r="K291" i="66" s="1"/>
  <c r="G291" i="66"/>
  <c r="I290" i="66"/>
  <c r="H290" i="66"/>
  <c r="G289" i="66"/>
  <c r="H289" i="66" s="1"/>
  <c r="K289" i="66" s="1"/>
  <c r="G288" i="66"/>
  <c r="H288" i="66" s="1"/>
  <c r="K288" i="66" s="1"/>
  <c r="G287" i="66"/>
  <c r="H287" i="66" s="1"/>
  <c r="K287" i="66" s="1"/>
  <c r="I286" i="66"/>
  <c r="H286" i="66"/>
  <c r="I285" i="66"/>
  <c r="H285" i="66"/>
  <c r="I284" i="66"/>
  <c r="H284" i="66"/>
  <c r="H283" i="66"/>
  <c r="K283" i="66" s="1"/>
  <c r="G283" i="66"/>
  <c r="H282" i="66"/>
  <c r="K282" i="66" s="1"/>
  <c r="G281" i="66"/>
  <c r="H281" i="66" s="1"/>
  <c r="K281" i="66" s="1"/>
  <c r="I280" i="66"/>
  <c r="H280" i="66"/>
  <c r="H279" i="66"/>
  <c r="K279" i="66" s="1"/>
  <c r="G279" i="66"/>
  <c r="I278" i="66"/>
  <c r="H278" i="66"/>
  <c r="G277" i="66"/>
  <c r="H277" i="66" s="1"/>
  <c r="K277" i="66" s="1"/>
  <c r="K276" i="66"/>
  <c r="H276" i="66"/>
  <c r="I275" i="66"/>
  <c r="H275" i="66"/>
  <c r="G274" i="66"/>
  <c r="H274" i="66" s="1"/>
  <c r="K274" i="66" s="1"/>
  <c r="G273" i="66"/>
  <c r="H273" i="66" s="1"/>
  <c r="K273" i="66" s="1"/>
  <c r="I272" i="66"/>
  <c r="H272" i="66"/>
  <c r="H271" i="66"/>
  <c r="K271" i="66" s="1"/>
  <c r="I270" i="66"/>
  <c r="H270" i="66"/>
  <c r="I269" i="66"/>
  <c r="H269" i="66"/>
  <c r="G268" i="66"/>
  <c r="H268" i="66" s="1"/>
  <c r="K268" i="66" s="1"/>
  <c r="G267" i="66"/>
  <c r="H267" i="66" s="1"/>
  <c r="K267" i="66" s="1"/>
  <c r="G266" i="66"/>
  <c r="H266" i="66" s="1"/>
  <c r="K266" i="66" s="1"/>
  <c r="G265" i="66"/>
  <c r="H265" i="66" s="1"/>
  <c r="K265" i="66" s="1"/>
  <c r="K264" i="66"/>
  <c r="H264" i="66"/>
  <c r="I263" i="66"/>
  <c r="H263" i="66"/>
  <c r="G262" i="66"/>
  <c r="H262" i="66" s="1"/>
  <c r="K262" i="66" s="1"/>
  <c r="I261" i="66"/>
  <c r="H261" i="66"/>
  <c r="H260" i="66"/>
  <c r="K260" i="66" s="1"/>
  <c r="G260" i="66"/>
  <c r="H259" i="66"/>
  <c r="K259" i="66" s="1"/>
  <c r="G259" i="66"/>
  <c r="I258" i="66"/>
  <c r="H258" i="66"/>
  <c r="G257" i="66"/>
  <c r="H257" i="66" s="1"/>
  <c r="K257" i="66" s="1"/>
  <c r="I256" i="66"/>
  <c r="H256" i="66"/>
  <c r="I255" i="66"/>
  <c r="H255" i="66"/>
  <c r="K254" i="66"/>
  <c r="H254" i="66"/>
  <c r="I253" i="66"/>
  <c r="H253" i="66"/>
  <c r="G252" i="66"/>
  <c r="H252" i="66" s="1"/>
  <c r="K252" i="66" s="1"/>
  <c r="I251" i="66"/>
  <c r="H251" i="66"/>
  <c r="I250" i="66"/>
  <c r="H250" i="66"/>
  <c r="I249" i="66"/>
  <c r="H249" i="66"/>
  <c r="I248" i="66"/>
  <c r="H248" i="66"/>
  <c r="I247" i="66"/>
  <c r="H247" i="66"/>
  <c r="H246" i="66"/>
  <c r="K246" i="66" s="1"/>
  <c r="G245" i="66"/>
  <c r="H245" i="66" s="1"/>
  <c r="K245" i="66" s="1"/>
  <c r="G244" i="66"/>
  <c r="H244" i="66" s="1"/>
  <c r="K244" i="66" s="1"/>
  <c r="G243" i="66"/>
  <c r="H243" i="66" s="1"/>
  <c r="K243" i="66" s="1"/>
  <c r="G242" i="66"/>
  <c r="H242" i="66" s="1"/>
  <c r="K242" i="66" s="1"/>
  <c r="K241" i="66"/>
  <c r="H241" i="66"/>
  <c r="H240" i="66"/>
  <c r="K240" i="66" s="1"/>
  <c r="K239" i="66"/>
  <c r="H239" i="66"/>
  <c r="I238" i="66"/>
  <c r="H238" i="66"/>
  <c r="G237" i="66"/>
  <c r="H237" i="66" s="1"/>
  <c r="K237" i="66" s="1"/>
  <c r="K236" i="66"/>
  <c r="H236" i="66"/>
  <c r="H235" i="66"/>
  <c r="K235" i="66" s="1"/>
  <c r="G234" i="66"/>
  <c r="H234" i="66" s="1"/>
  <c r="K234" i="66" s="1"/>
  <c r="K233" i="66"/>
  <c r="H233" i="66"/>
  <c r="I232" i="66"/>
  <c r="H232" i="66"/>
  <c r="G231" i="66"/>
  <c r="H231" i="66" s="1"/>
  <c r="K231" i="66" s="1"/>
  <c r="G230" i="66"/>
  <c r="H230" i="66" s="1"/>
  <c r="K230" i="66" s="1"/>
  <c r="I229" i="66"/>
  <c r="H229" i="66"/>
  <c r="I228" i="66"/>
  <c r="I292" i="66" s="1"/>
  <c r="H228" i="66"/>
  <c r="G227" i="66"/>
  <c r="H227" i="66" s="1"/>
  <c r="D226" i="66"/>
  <c r="H225" i="66"/>
  <c r="K225" i="66" s="1"/>
  <c r="G225" i="66"/>
  <c r="I224" i="66"/>
  <c r="H224" i="66"/>
  <c r="I223" i="66"/>
  <c r="H223" i="66"/>
  <c r="H222" i="66"/>
  <c r="K222" i="66" s="1"/>
  <c r="G222" i="66"/>
  <c r="H221" i="66"/>
  <c r="K221" i="66" s="1"/>
  <c r="G221" i="66"/>
  <c r="H220" i="66"/>
  <c r="K220" i="66" s="1"/>
  <c r="G220" i="66"/>
  <c r="H219" i="66"/>
  <c r="K219" i="66" s="1"/>
  <c r="G219" i="66"/>
  <c r="H218" i="66"/>
  <c r="K218" i="66" s="1"/>
  <c r="G218" i="66"/>
  <c r="H217" i="66"/>
  <c r="K217" i="66" s="1"/>
  <c r="G217" i="66"/>
  <c r="I216" i="66"/>
  <c r="H216" i="66"/>
  <c r="K215" i="66"/>
  <c r="H215" i="66"/>
  <c r="H214" i="66"/>
  <c r="K214" i="66" s="1"/>
  <c r="G214" i="66"/>
  <c r="H213" i="66"/>
  <c r="K213" i="66" s="1"/>
  <c r="G213" i="66"/>
  <c r="H212" i="66"/>
  <c r="K212" i="66" s="1"/>
  <c r="G212" i="66"/>
  <c r="I211" i="66"/>
  <c r="H211" i="66"/>
  <c r="I210" i="66"/>
  <c r="H210" i="66"/>
  <c r="H209" i="66"/>
  <c r="K209" i="66" s="1"/>
  <c r="G209" i="66"/>
  <c r="H208" i="66"/>
  <c r="K208" i="66" s="1"/>
  <c r="G208" i="66"/>
  <c r="H207" i="66"/>
  <c r="K207" i="66" s="1"/>
  <c r="G207" i="66"/>
  <c r="H206" i="66"/>
  <c r="K206" i="66" s="1"/>
  <c r="G206" i="66"/>
  <c r="I205" i="66"/>
  <c r="H205" i="66"/>
  <c r="K204" i="66"/>
  <c r="G204" i="66"/>
  <c r="H204" i="66" s="1"/>
  <c r="K203" i="66"/>
  <c r="G203" i="66"/>
  <c r="H203" i="66" s="1"/>
  <c r="K202" i="66"/>
  <c r="G202" i="66"/>
  <c r="H202" i="66" s="1"/>
  <c r="K201" i="66"/>
  <c r="G201" i="66"/>
  <c r="H201" i="66" s="1"/>
  <c r="K200" i="66"/>
  <c r="G200" i="66"/>
  <c r="H200" i="66" s="1"/>
  <c r="K199" i="66"/>
  <c r="G199" i="66"/>
  <c r="H199" i="66" s="1"/>
  <c r="K198" i="66"/>
  <c r="H198" i="66"/>
  <c r="H197" i="66"/>
  <c r="K197" i="66" s="1"/>
  <c r="G197" i="66"/>
  <c r="H196" i="66"/>
  <c r="K196" i="66" s="1"/>
  <c r="K195" i="66"/>
  <c r="H195" i="66"/>
  <c r="H194" i="66"/>
  <c r="K194" i="66" s="1"/>
  <c r="G194" i="66"/>
  <c r="H193" i="66"/>
  <c r="K193" i="66" s="1"/>
  <c r="G193" i="66"/>
  <c r="I192" i="66"/>
  <c r="H192" i="66"/>
  <c r="G191" i="66"/>
  <c r="H191" i="66" s="1"/>
  <c r="K191" i="66" s="1"/>
  <c r="G190" i="66"/>
  <c r="H190" i="66" s="1"/>
  <c r="K190" i="66" s="1"/>
  <c r="G189" i="66"/>
  <c r="H189" i="66" s="1"/>
  <c r="K189" i="66" s="1"/>
  <c r="G188" i="66"/>
  <c r="H188" i="66" s="1"/>
  <c r="K188" i="66" s="1"/>
  <c r="I187" i="66"/>
  <c r="H187" i="66"/>
  <c r="H186" i="66"/>
  <c r="K186" i="66" s="1"/>
  <c r="G186" i="66"/>
  <c r="H185" i="66"/>
  <c r="K185" i="66" s="1"/>
  <c r="G184" i="66"/>
  <c r="H184" i="66" s="1"/>
  <c r="K184" i="66" s="1"/>
  <c r="K183" i="66"/>
  <c r="H183" i="66"/>
  <c r="H182" i="66"/>
  <c r="K182" i="66" s="1"/>
  <c r="G182" i="66"/>
  <c r="H181" i="66"/>
  <c r="K181" i="66" s="1"/>
  <c r="G181" i="66"/>
  <c r="H180" i="66"/>
  <c r="K180" i="66" s="1"/>
  <c r="G180" i="66"/>
  <c r="I179" i="66"/>
  <c r="I226" i="66" s="1"/>
  <c r="H179" i="66"/>
  <c r="K178" i="66"/>
  <c r="G178" i="66"/>
  <c r="H178" i="66" s="1"/>
  <c r="K177" i="66"/>
  <c r="G177" i="66"/>
  <c r="H177" i="66" s="1"/>
  <c r="H176" i="66"/>
  <c r="K176" i="66" s="1"/>
  <c r="G176" i="66"/>
  <c r="H175" i="66"/>
  <c r="K175" i="66" s="1"/>
  <c r="G175" i="66"/>
  <c r="H174" i="66"/>
  <c r="H226" i="66" s="1"/>
  <c r="D173" i="66"/>
  <c r="H172" i="66"/>
  <c r="K172" i="66" s="1"/>
  <c r="G172" i="66"/>
  <c r="H171" i="66"/>
  <c r="K171" i="66" s="1"/>
  <c r="G170" i="66"/>
  <c r="H170" i="66" s="1"/>
  <c r="K170" i="66" s="1"/>
  <c r="I169" i="66"/>
  <c r="H169" i="66"/>
  <c r="H168" i="66"/>
  <c r="K168" i="66" s="1"/>
  <c r="G168" i="66"/>
  <c r="H167" i="66"/>
  <c r="K167" i="66" s="1"/>
  <c r="G167" i="66"/>
  <c r="H166" i="66"/>
  <c r="K166" i="66" s="1"/>
  <c r="G166" i="66"/>
  <c r="H165" i="66"/>
  <c r="K165" i="66" s="1"/>
  <c r="G165" i="66"/>
  <c r="I164" i="66"/>
  <c r="H164" i="66"/>
  <c r="I163" i="66"/>
  <c r="H163" i="66"/>
  <c r="H162" i="66"/>
  <c r="K162" i="66" s="1"/>
  <c r="G162" i="66"/>
  <c r="H161" i="66"/>
  <c r="K161" i="66" s="1"/>
  <c r="G161" i="66"/>
  <c r="H160" i="66"/>
  <c r="K160" i="66" s="1"/>
  <c r="G160" i="66"/>
  <c r="H159" i="66"/>
  <c r="K159" i="66" s="1"/>
  <c r="G159" i="66"/>
  <c r="H158" i="66"/>
  <c r="K158" i="66" s="1"/>
  <c r="G158" i="66"/>
  <c r="H157" i="66"/>
  <c r="K157" i="66" s="1"/>
  <c r="G157" i="66"/>
  <c r="H156" i="66"/>
  <c r="K156" i="66" s="1"/>
  <c r="G156" i="66"/>
  <c r="H155" i="66"/>
  <c r="K155" i="66" s="1"/>
  <c r="G155" i="66"/>
  <c r="H154" i="66"/>
  <c r="K154" i="66" s="1"/>
  <c r="G154" i="66"/>
  <c r="H153" i="66"/>
  <c r="K153" i="66" s="1"/>
  <c r="K152" i="66"/>
  <c r="H152" i="66"/>
  <c r="H151" i="66"/>
  <c r="K151" i="66" s="1"/>
  <c r="G151" i="66"/>
  <c r="H150" i="66"/>
  <c r="K150" i="66" s="1"/>
  <c r="G150" i="66"/>
  <c r="I149" i="66"/>
  <c r="H149" i="66"/>
  <c r="G148" i="66"/>
  <c r="H148" i="66" s="1"/>
  <c r="K148" i="66" s="1"/>
  <c r="I147" i="66"/>
  <c r="H147" i="66"/>
  <c r="H146" i="66"/>
  <c r="K146" i="66" s="1"/>
  <c r="G146" i="66"/>
  <c r="H145" i="66"/>
  <c r="K145" i="66" s="1"/>
  <c r="G144" i="66"/>
  <c r="H144" i="66" s="1"/>
  <c r="K144" i="66" s="1"/>
  <c r="K143" i="66"/>
  <c r="H143" i="66"/>
  <c r="H142" i="66"/>
  <c r="K142" i="66" s="1"/>
  <c r="G142" i="66"/>
  <c r="H141" i="66"/>
  <c r="K141" i="66" s="1"/>
  <c r="G141" i="66"/>
  <c r="H140" i="66"/>
  <c r="K140" i="66" s="1"/>
  <c r="K139" i="66"/>
  <c r="H139" i="66"/>
  <c r="H138" i="66"/>
  <c r="K138" i="66" s="1"/>
  <c r="G138" i="66"/>
  <c r="I137" i="66"/>
  <c r="H137" i="66"/>
  <c r="G136" i="66"/>
  <c r="H136" i="66" s="1"/>
  <c r="K136" i="66" s="1"/>
  <c r="G135" i="66"/>
  <c r="H135" i="66" s="1"/>
  <c r="K135" i="66" s="1"/>
  <c r="G134" i="66"/>
  <c r="H134" i="66" s="1"/>
  <c r="K134" i="66" s="1"/>
  <c r="G133" i="66"/>
  <c r="H133" i="66" s="1"/>
  <c r="K133" i="66" s="1"/>
  <c r="I132" i="66"/>
  <c r="H132" i="66"/>
  <c r="H131" i="66"/>
  <c r="K131" i="66" s="1"/>
  <c r="G131" i="66"/>
  <c r="H130" i="66"/>
  <c r="K130" i="66" s="1"/>
  <c r="G130" i="66"/>
  <c r="H129" i="66"/>
  <c r="K129" i="66" s="1"/>
  <c r="G129" i="66"/>
  <c r="H128" i="66"/>
  <c r="K128" i="66" s="1"/>
  <c r="G128" i="66"/>
  <c r="I127" i="66"/>
  <c r="H127" i="66"/>
  <c r="I126" i="66"/>
  <c r="H126" i="66"/>
  <c r="H125" i="66"/>
  <c r="K125" i="66" s="1"/>
  <c r="G125" i="66"/>
  <c r="H124" i="66"/>
  <c r="K124" i="66" s="1"/>
  <c r="G124" i="66"/>
  <c r="H123" i="66"/>
  <c r="K123" i="66" s="1"/>
  <c r="I122" i="66"/>
  <c r="H122" i="66"/>
  <c r="H121" i="66"/>
  <c r="K121" i="66" s="1"/>
  <c r="G121" i="66"/>
  <c r="H120" i="66"/>
  <c r="K120" i="66" s="1"/>
  <c r="G119" i="66"/>
  <c r="H119" i="66" s="1"/>
  <c r="K119" i="66" s="1"/>
  <c r="G118" i="66"/>
  <c r="H118" i="66" s="1"/>
  <c r="K118" i="66" s="1"/>
  <c r="K117" i="66"/>
  <c r="H117" i="66"/>
  <c r="D116" i="66"/>
  <c r="D293" i="66" s="1"/>
  <c r="K115" i="66"/>
  <c r="H115" i="66"/>
  <c r="H114" i="66"/>
  <c r="K114" i="66" s="1"/>
  <c r="I113" i="66"/>
  <c r="H113" i="66"/>
  <c r="I112" i="66"/>
  <c r="H112" i="66"/>
  <c r="G111" i="66"/>
  <c r="H111" i="66" s="1"/>
  <c r="K111" i="66" s="1"/>
  <c r="G110" i="66"/>
  <c r="H110" i="66" s="1"/>
  <c r="K110" i="66" s="1"/>
  <c r="G109" i="66"/>
  <c r="H109" i="66" s="1"/>
  <c r="K109" i="66" s="1"/>
  <c r="F108" i="66"/>
  <c r="F293" i="66" s="1"/>
  <c r="E108" i="66"/>
  <c r="E293" i="66" s="1"/>
  <c r="G107" i="66"/>
  <c r="H107" i="66" s="1"/>
  <c r="K107" i="66" s="1"/>
  <c r="I106" i="66"/>
  <c r="H106" i="66"/>
  <c r="H105" i="66"/>
  <c r="K105" i="66" s="1"/>
  <c r="G105" i="66"/>
  <c r="H104" i="66"/>
  <c r="K104" i="66" s="1"/>
  <c r="G104" i="66"/>
  <c r="H103" i="66"/>
  <c r="K103" i="66" s="1"/>
  <c r="G103" i="66"/>
  <c r="H102" i="66"/>
  <c r="K102" i="66" s="1"/>
  <c r="G102" i="66"/>
  <c r="H101" i="66"/>
  <c r="K101" i="66" s="1"/>
  <c r="G101" i="66"/>
  <c r="H100" i="66"/>
  <c r="K100" i="66" s="1"/>
  <c r="G100" i="66"/>
  <c r="H99" i="66"/>
  <c r="K99" i="66" s="1"/>
  <c r="I98" i="66"/>
  <c r="H98" i="66"/>
  <c r="H97" i="66"/>
  <c r="K97" i="66" s="1"/>
  <c r="G97" i="66"/>
  <c r="I96" i="66"/>
  <c r="H96" i="66"/>
  <c r="K95" i="66"/>
  <c r="H95" i="66"/>
  <c r="H94" i="66"/>
  <c r="K94" i="66" s="1"/>
  <c r="G94" i="66"/>
  <c r="I93" i="66"/>
  <c r="H93" i="66"/>
  <c r="I92" i="66"/>
  <c r="H92" i="66"/>
  <c r="H91" i="66"/>
  <c r="K91" i="66" s="1"/>
  <c r="G91" i="66"/>
  <c r="H90" i="66"/>
  <c r="K90" i="66" s="1"/>
  <c r="G90" i="66"/>
  <c r="H89" i="66"/>
  <c r="K89" i="66" s="1"/>
  <c r="G89" i="66"/>
  <c r="H88" i="66"/>
  <c r="K88" i="66" s="1"/>
  <c r="G87" i="66"/>
  <c r="H87" i="66" s="1"/>
  <c r="K87" i="66" s="1"/>
  <c r="I86" i="66"/>
  <c r="H86" i="66"/>
  <c r="H85" i="66"/>
  <c r="K85" i="66" s="1"/>
  <c r="G85" i="66"/>
  <c r="H84" i="66"/>
  <c r="K84" i="66" s="1"/>
  <c r="G84" i="66"/>
  <c r="H83" i="66"/>
  <c r="K83" i="66" s="1"/>
  <c r="G82" i="66"/>
  <c r="H82" i="66" s="1"/>
  <c r="K82" i="66" s="1"/>
  <c r="K81" i="66"/>
  <c r="H81" i="66"/>
  <c r="I80" i="66"/>
  <c r="H80" i="66"/>
  <c r="G79" i="66"/>
  <c r="H79" i="66" s="1"/>
  <c r="K79" i="66" s="1"/>
  <c r="K78" i="66"/>
  <c r="H78" i="66"/>
  <c r="I77" i="66"/>
  <c r="H77" i="66"/>
  <c r="G76" i="66"/>
  <c r="H76" i="66" s="1"/>
  <c r="K76" i="66" s="1"/>
  <c r="G75" i="66"/>
  <c r="H75" i="66" s="1"/>
  <c r="K75" i="66" s="1"/>
  <c r="G74" i="66"/>
  <c r="H74" i="66" s="1"/>
  <c r="K74" i="66" s="1"/>
  <c r="G73" i="66"/>
  <c r="H73" i="66" s="1"/>
  <c r="K73" i="66" s="1"/>
  <c r="I72" i="66"/>
  <c r="H72" i="66"/>
  <c r="H71" i="66"/>
  <c r="K71" i="66" s="1"/>
  <c r="G71" i="66"/>
  <c r="H70" i="66"/>
  <c r="K70" i="66" s="1"/>
  <c r="G70" i="66"/>
  <c r="I69" i="66"/>
  <c r="H69" i="66"/>
  <c r="G68" i="66"/>
  <c r="H68" i="66" s="1"/>
  <c r="K68" i="66" s="1"/>
  <c r="G67" i="66"/>
  <c r="H67" i="66" s="1"/>
  <c r="K67" i="66" s="1"/>
  <c r="G66" i="66"/>
  <c r="H66" i="66" s="1"/>
  <c r="K66" i="66" s="1"/>
  <c r="K65" i="66"/>
  <c r="H65" i="66"/>
  <c r="H64" i="66"/>
  <c r="K64" i="66" s="1"/>
  <c r="G64" i="66"/>
  <c r="H63" i="66"/>
  <c r="K63" i="66" s="1"/>
  <c r="G63" i="66"/>
  <c r="I62" i="66"/>
  <c r="H62" i="66"/>
  <c r="K61" i="66"/>
  <c r="H61" i="66"/>
  <c r="H60" i="66"/>
  <c r="K60" i="66" s="1"/>
  <c r="G60" i="66"/>
  <c r="H59" i="66"/>
  <c r="K59" i="66" s="1"/>
  <c r="G59" i="66"/>
  <c r="H58" i="66"/>
  <c r="K58" i="66" s="1"/>
  <c r="G58" i="66"/>
  <c r="H57" i="66"/>
  <c r="K57" i="66" s="1"/>
  <c r="G57" i="66"/>
  <c r="I56" i="66"/>
  <c r="H56" i="66"/>
  <c r="K55" i="66"/>
  <c r="H55" i="66"/>
  <c r="I54" i="66"/>
  <c r="H54" i="66"/>
  <c r="G53" i="66"/>
  <c r="H53" i="66" s="1"/>
  <c r="K53" i="66" s="1"/>
  <c r="K52" i="66"/>
  <c r="H52" i="66"/>
  <c r="H51" i="66"/>
  <c r="K51" i="66" s="1"/>
  <c r="G51" i="66"/>
  <c r="H50" i="66"/>
  <c r="K50" i="66" s="1"/>
  <c r="G50" i="66"/>
  <c r="I49" i="66"/>
  <c r="H49" i="66"/>
  <c r="K48" i="66"/>
  <c r="H48" i="66"/>
  <c r="H47" i="66"/>
  <c r="K47" i="66" s="1"/>
  <c r="G46" i="66"/>
  <c r="H46" i="66" s="1"/>
  <c r="K46" i="66" s="1"/>
  <c r="I45" i="66"/>
  <c r="H45" i="66"/>
  <c r="H44" i="66"/>
  <c r="K44" i="66" s="1"/>
  <c r="G43" i="66"/>
  <c r="H43" i="66" s="1"/>
  <c r="K43" i="66" s="1"/>
  <c r="I42" i="66"/>
  <c r="I116" i="66" s="1"/>
  <c r="H42" i="66"/>
  <c r="J36" i="66"/>
  <c r="E34" i="66"/>
  <c r="J33" i="66"/>
  <c r="E33" i="66"/>
  <c r="E32" i="66"/>
  <c r="J27" i="66"/>
  <c r="E27" i="66"/>
  <c r="J26" i="66"/>
  <c r="E26" i="66"/>
  <c r="E25" i="66"/>
  <c r="J24" i="66"/>
  <c r="J23" i="66"/>
  <c r="E20" i="66"/>
  <c r="E19" i="66"/>
  <c r="E18" i="66"/>
  <c r="E13" i="66"/>
  <c r="E12" i="66"/>
  <c r="E11" i="66"/>
  <c r="J12" i="66" l="1"/>
  <c r="H173" i="66"/>
  <c r="J20" i="66" s="1"/>
  <c r="K223" i="66"/>
  <c r="J223" i="66"/>
  <c r="J210" i="66"/>
  <c r="K210" i="66" s="1"/>
  <c r="J187" i="66"/>
  <c r="K187" i="66" s="1"/>
  <c r="G293" i="66"/>
  <c r="I173" i="66"/>
  <c r="J19" i="66" s="1"/>
  <c r="K174" i="66"/>
  <c r="J179" i="66"/>
  <c r="K179" i="66" s="1"/>
  <c r="J205" i="66"/>
  <c r="K205" i="66" s="1"/>
  <c r="J216" i="66"/>
  <c r="K216" i="66" s="1"/>
  <c r="H292" i="66"/>
  <c r="J34" i="66" s="1"/>
  <c r="K227" i="66"/>
  <c r="G108" i="66"/>
  <c r="H108" i="66" s="1"/>
  <c r="K108" i="66" s="1"/>
  <c r="K192" i="66"/>
  <c r="J192" i="66"/>
  <c r="K211" i="66"/>
  <c r="J211" i="66"/>
  <c r="K224" i="66"/>
  <c r="J224" i="66"/>
  <c r="K42" i="67"/>
  <c r="H116" i="67"/>
  <c r="G108" i="67"/>
  <c r="H108" i="67" s="1"/>
  <c r="K108" i="67" s="1"/>
  <c r="H173" i="67"/>
  <c r="J20" i="67" s="1"/>
  <c r="K117" i="67"/>
  <c r="H226" i="67"/>
  <c r="J27" i="67" s="1"/>
  <c r="I293" i="67"/>
  <c r="H292" i="67"/>
  <c r="J34" i="67" s="1"/>
  <c r="K227" i="67"/>
  <c r="H120" i="68"/>
  <c r="K56" i="68"/>
  <c r="H237" i="68"/>
  <c r="J27" i="68" s="1"/>
  <c r="H180" i="68"/>
  <c r="K217" i="68"/>
  <c r="H307" i="68"/>
  <c r="I148" i="68" l="1"/>
  <c r="I149" i="68"/>
  <c r="J20" i="68"/>
  <c r="J24" i="68"/>
  <c r="J23" i="68"/>
  <c r="I238" i="68"/>
  <c r="J34" i="68"/>
  <c r="J31" i="67"/>
  <c r="J30" i="67"/>
  <c r="J24" i="67"/>
  <c r="J23" i="67"/>
  <c r="J17" i="67"/>
  <c r="J16" i="67"/>
  <c r="J31" i="66"/>
  <c r="J30" i="66"/>
  <c r="J17" i="66"/>
  <c r="J16" i="66"/>
  <c r="H116" i="66"/>
  <c r="H308" i="68"/>
  <c r="I88" i="68"/>
  <c r="I109" i="68"/>
  <c r="I108" i="68"/>
  <c r="I100" i="68"/>
  <c r="I67" i="68"/>
  <c r="I57" i="68"/>
  <c r="J13" i="68"/>
  <c r="H293" i="67"/>
  <c r="J13" i="67"/>
  <c r="J226" i="66"/>
  <c r="K226" i="66"/>
  <c r="I293" i="66"/>
  <c r="J10" i="67" l="1"/>
  <c r="J9" i="67"/>
  <c r="H293" i="66"/>
  <c r="J13" i="66"/>
  <c r="J126" i="66"/>
  <c r="K126" i="66" s="1"/>
  <c r="J147" i="66"/>
  <c r="K147" i="66" s="1"/>
  <c r="J169" i="66"/>
  <c r="K169" i="66" s="1"/>
  <c r="J137" i="66"/>
  <c r="K137" i="66" s="1"/>
  <c r="J164" i="66"/>
  <c r="K164" i="66" s="1"/>
  <c r="J122" i="66"/>
  <c r="J132" i="66"/>
  <c r="K132" i="66" s="1"/>
  <c r="J163" i="66"/>
  <c r="K163" i="66" s="1"/>
  <c r="J127" i="66"/>
  <c r="K127" i="66" s="1"/>
  <c r="J149" i="66"/>
  <c r="K149" i="66" s="1"/>
  <c r="J290" i="66"/>
  <c r="K290" i="66" s="1"/>
  <c r="J278" i="66"/>
  <c r="K278" i="66" s="1"/>
  <c r="J269" i="66"/>
  <c r="K269" i="66" s="1"/>
  <c r="J258" i="66"/>
  <c r="K258" i="66" s="1"/>
  <c r="J253" i="66"/>
  <c r="K253" i="66" s="1"/>
  <c r="J248" i="66"/>
  <c r="K248" i="66" s="1"/>
  <c r="J232" i="66"/>
  <c r="K232" i="66" s="1"/>
  <c r="J286" i="66"/>
  <c r="K286" i="66" s="1"/>
  <c r="J280" i="66"/>
  <c r="K280" i="66" s="1"/>
  <c r="J270" i="66"/>
  <c r="K270" i="66" s="1"/>
  <c r="J256" i="66"/>
  <c r="K256" i="66" s="1"/>
  <c r="J249" i="66"/>
  <c r="K249" i="66" s="1"/>
  <c r="J229" i="66"/>
  <c r="K229" i="66" s="1"/>
  <c r="J285" i="66"/>
  <c r="K285" i="66" s="1"/>
  <c r="J275" i="66"/>
  <c r="K275" i="66" s="1"/>
  <c r="J263" i="66"/>
  <c r="K263" i="66" s="1"/>
  <c r="J255" i="66"/>
  <c r="K255" i="66" s="1"/>
  <c r="J250" i="66"/>
  <c r="K250" i="66" s="1"/>
  <c r="J238" i="66"/>
  <c r="K238" i="66" s="1"/>
  <c r="J228" i="66"/>
  <c r="J284" i="66"/>
  <c r="K284" i="66" s="1"/>
  <c r="J272" i="66"/>
  <c r="K272" i="66" s="1"/>
  <c r="J261" i="66"/>
  <c r="K261" i="66" s="1"/>
  <c r="J251" i="66"/>
  <c r="K251" i="66" s="1"/>
  <c r="J247" i="66"/>
  <c r="K247" i="66" s="1"/>
  <c r="J169" i="67"/>
  <c r="K169" i="67" s="1"/>
  <c r="J122" i="67"/>
  <c r="J126" i="67"/>
  <c r="K126" i="67" s="1"/>
  <c r="J149" i="67"/>
  <c r="K149" i="67" s="1"/>
  <c r="J127" i="67"/>
  <c r="K127" i="67" s="1"/>
  <c r="J164" i="67"/>
  <c r="K164" i="67" s="1"/>
  <c r="J137" i="67"/>
  <c r="K137" i="67" s="1"/>
  <c r="J132" i="67"/>
  <c r="K132" i="67" s="1"/>
  <c r="J147" i="67"/>
  <c r="K147" i="67" s="1"/>
  <c r="J163" i="67"/>
  <c r="K163" i="67" s="1"/>
  <c r="J210" i="67"/>
  <c r="K210" i="67" s="1"/>
  <c r="J224" i="67"/>
  <c r="K224" i="67" s="1"/>
  <c r="J211" i="67"/>
  <c r="K211" i="67" s="1"/>
  <c r="J179" i="67"/>
  <c r="J223" i="67"/>
  <c r="K223" i="67" s="1"/>
  <c r="J187" i="67"/>
  <c r="K187" i="67" s="1"/>
  <c r="J216" i="67"/>
  <c r="K216" i="67" s="1"/>
  <c r="J192" i="67"/>
  <c r="K192" i="67" s="1"/>
  <c r="J290" i="67"/>
  <c r="K290" i="67" s="1"/>
  <c r="J278" i="67"/>
  <c r="K278" i="67" s="1"/>
  <c r="J269" i="67"/>
  <c r="K269" i="67" s="1"/>
  <c r="J258" i="67"/>
  <c r="K258" i="67" s="1"/>
  <c r="J250" i="67"/>
  <c r="K250" i="67" s="1"/>
  <c r="J229" i="67"/>
  <c r="K229" i="67" s="1"/>
  <c r="J284" i="67"/>
  <c r="K284" i="67" s="1"/>
  <c r="J272" i="67"/>
  <c r="K272" i="67" s="1"/>
  <c r="J261" i="67"/>
  <c r="K261" i="67" s="1"/>
  <c r="J248" i="67"/>
  <c r="K248" i="67" s="1"/>
  <c r="J232" i="67"/>
  <c r="K232" i="67" s="1"/>
  <c r="J285" i="67"/>
  <c r="K285" i="67" s="1"/>
  <c r="J275" i="67"/>
  <c r="K275" i="67" s="1"/>
  <c r="J263" i="67"/>
  <c r="K263" i="67" s="1"/>
  <c r="J253" i="67"/>
  <c r="K253" i="67" s="1"/>
  <c r="J247" i="67"/>
  <c r="K247" i="67" s="1"/>
  <c r="J286" i="67"/>
  <c r="K286" i="67" s="1"/>
  <c r="J280" i="67"/>
  <c r="K280" i="67" s="1"/>
  <c r="J270" i="67"/>
  <c r="K270" i="67" s="1"/>
  <c r="J251" i="67"/>
  <c r="K251" i="67" s="1"/>
  <c r="J238" i="67"/>
  <c r="K238" i="67" s="1"/>
  <c r="J228" i="67"/>
  <c r="I307" i="68"/>
  <c r="J33" i="68" s="1"/>
  <c r="K238" i="68"/>
  <c r="J229" i="68"/>
  <c r="K229" i="68" s="1"/>
  <c r="J206" i="68"/>
  <c r="K206" i="68" s="1"/>
  <c r="J212" i="68"/>
  <c r="K212" i="68" s="1"/>
  <c r="J193" i="68"/>
  <c r="K193" i="68" s="1"/>
  <c r="J236" i="68"/>
  <c r="K236" i="68" s="1"/>
  <c r="J209" i="68"/>
  <c r="K209" i="68" s="1"/>
  <c r="J192" i="68"/>
  <c r="K192" i="68" s="1"/>
  <c r="J233" i="68"/>
  <c r="K233" i="68" s="1"/>
  <c r="J227" i="68"/>
  <c r="K227" i="68" s="1"/>
  <c r="J222" i="68"/>
  <c r="K222" i="68" s="1"/>
  <c r="J219" i="68"/>
  <c r="K219" i="68" s="1"/>
  <c r="J213" i="68"/>
  <c r="K213" i="68" s="1"/>
  <c r="J208" i="68"/>
  <c r="K208" i="68" s="1"/>
  <c r="J203" i="68"/>
  <c r="K203" i="68" s="1"/>
  <c r="J220" i="68"/>
  <c r="K220" i="68" s="1"/>
  <c r="J214" i="68"/>
  <c r="K214" i="68" s="1"/>
  <c r="J204" i="68"/>
  <c r="K204" i="68" s="1"/>
  <c r="J201" i="68"/>
  <c r="K201" i="68" s="1"/>
  <c r="J196" i="68"/>
  <c r="K196" i="68" s="1"/>
  <c r="J190" i="68"/>
  <c r="K190" i="68" s="1"/>
  <c r="J187" i="68"/>
  <c r="K187" i="68" s="1"/>
  <c r="J182" i="68"/>
  <c r="K182" i="68" s="1"/>
  <c r="J232" i="68"/>
  <c r="K232" i="68" s="1"/>
  <c r="J226" i="68"/>
  <c r="K226" i="68" s="1"/>
  <c r="J211" i="68"/>
  <c r="K211" i="68" s="1"/>
  <c r="J207" i="68"/>
  <c r="K207" i="68" s="1"/>
  <c r="J200" i="68"/>
  <c r="K200" i="68" s="1"/>
  <c r="J195" i="68"/>
  <c r="K195" i="68" s="1"/>
  <c r="J191" i="68"/>
  <c r="K191" i="68" s="1"/>
  <c r="J185" i="68"/>
  <c r="K185" i="68" s="1"/>
  <c r="J181" i="68"/>
  <c r="J235" i="68"/>
  <c r="K235" i="68" s="1"/>
  <c r="J225" i="68"/>
  <c r="K225" i="68" s="1"/>
  <c r="J221" i="68"/>
  <c r="K221" i="68" s="1"/>
  <c r="J215" i="68"/>
  <c r="K215" i="68" s="1"/>
  <c r="J210" i="68"/>
  <c r="K210" i="68" s="1"/>
  <c r="J234" i="68"/>
  <c r="K234" i="68" s="1"/>
  <c r="J216" i="68"/>
  <c r="K216" i="68" s="1"/>
  <c r="J202" i="68"/>
  <c r="K202" i="68" s="1"/>
  <c r="J198" i="68"/>
  <c r="K198" i="68" s="1"/>
  <c r="J189" i="68"/>
  <c r="K189" i="68" s="1"/>
  <c r="J184" i="68"/>
  <c r="K184" i="68" s="1"/>
  <c r="J228" i="68"/>
  <c r="K228" i="68" s="1"/>
  <c r="J224" i="68"/>
  <c r="K224" i="68" s="1"/>
  <c r="J205" i="68"/>
  <c r="K205" i="68" s="1"/>
  <c r="J197" i="68"/>
  <c r="K197" i="68" s="1"/>
  <c r="J188" i="68"/>
  <c r="K188" i="68" s="1"/>
  <c r="J183" i="68"/>
  <c r="K183" i="68" s="1"/>
  <c r="I120" i="68"/>
  <c r="J31" i="68"/>
  <c r="J30" i="68"/>
  <c r="I180" i="68"/>
  <c r="J19" i="68" s="1"/>
  <c r="J16" i="68" s="1"/>
  <c r="J17" i="68" l="1"/>
  <c r="J301" i="68"/>
  <c r="K301" i="68" s="1"/>
  <c r="J269" i="68"/>
  <c r="K269" i="68" s="1"/>
  <c r="J291" i="68"/>
  <c r="K291" i="68" s="1"/>
  <c r="J243" i="68"/>
  <c r="K243" i="68" s="1"/>
  <c r="J296" i="68"/>
  <c r="K296" i="68" s="1"/>
  <c r="J286" i="68"/>
  <c r="K286" i="68" s="1"/>
  <c r="J274" i="68"/>
  <c r="K274" i="68" s="1"/>
  <c r="J264" i="68"/>
  <c r="K264" i="68" s="1"/>
  <c r="J258" i="68"/>
  <c r="K258" i="68" s="1"/>
  <c r="J295" i="68"/>
  <c r="K295" i="68" s="1"/>
  <c r="J283" i="68"/>
  <c r="K283" i="68" s="1"/>
  <c r="J272" i="68"/>
  <c r="K272" i="68" s="1"/>
  <c r="J249" i="68"/>
  <c r="K249" i="68" s="1"/>
  <c r="J259" i="68"/>
  <c r="K259" i="68" s="1"/>
  <c r="J289" i="68"/>
  <c r="K289" i="68" s="1"/>
  <c r="J280" i="68"/>
  <c r="K280" i="68" s="1"/>
  <c r="J261" i="68"/>
  <c r="K261" i="68" s="1"/>
  <c r="J297" i="68"/>
  <c r="K297" i="68" s="1"/>
  <c r="J281" i="68"/>
  <c r="K281" i="68" s="1"/>
  <c r="J262" i="68"/>
  <c r="K262" i="68" s="1"/>
  <c r="J240" i="68"/>
  <c r="I308" i="68"/>
  <c r="J12" i="68"/>
  <c r="J226" i="67"/>
  <c r="K179" i="67"/>
  <c r="J173" i="66"/>
  <c r="K122" i="66"/>
  <c r="J38" i="67"/>
  <c r="J237" i="68"/>
  <c r="K181" i="68"/>
  <c r="J292" i="67"/>
  <c r="K228" i="67"/>
  <c r="J173" i="67"/>
  <c r="K122" i="67"/>
  <c r="J292" i="66"/>
  <c r="K228" i="66"/>
  <c r="J10" i="66"/>
  <c r="J9" i="66"/>
  <c r="J39" i="67"/>
  <c r="J72" i="67"/>
  <c r="K72" i="67" s="1"/>
  <c r="J92" i="67"/>
  <c r="K92" i="67" s="1"/>
  <c r="J106" i="67"/>
  <c r="K106" i="67" s="1"/>
  <c r="J112" i="67"/>
  <c r="K112" i="67" s="1"/>
  <c r="J49" i="67"/>
  <c r="K49" i="67" s="1"/>
  <c r="J56" i="67"/>
  <c r="K56" i="67" s="1"/>
  <c r="J69" i="67"/>
  <c r="K69" i="67" s="1"/>
  <c r="J80" i="67"/>
  <c r="K80" i="67" s="1"/>
  <c r="J96" i="67"/>
  <c r="K96" i="67" s="1"/>
  <c r="J113" i="67"/>
  <c r="K113" i="67" s="1"/>
  <c r="J86" i="67"/>
  <c r="K86" i="67" s="1"/>
  <c r="J98" i="67"/>
  <c r="K98" i="67" s="1"/>
  <c r="J54" i="67"/>
  <c r="K54" i="67" s="1"/>
  <c r="J62" i="67"/>
  <c r="K62" i="67" s="1"/>
  <c r="J77" i="67"/>
  <c r="K77" i="67" s="1"/>
  <c r="J93" i="67"/>
  <c r="K93" i="67" s="1"/>
  <c r="J38" i="66" l="1"/>
  <c r="K292" i="66"/>
  <c r="K173" i="67"/>
  <c r="K292" i="67"/>
  <c r="K237" i="68"/>
  <c r="K173" i="66"/>
  <c r="K226" i="67"/>
  <c r="J10" i="68"/>
  <c r="J9" i="68"/>
  <c r="J307" i="68"/>
  <c r="K240" i="68"/>
  <c r="J177" i="68"/>
  <c r="K177" i="68" s="1"/>
  <c r="J163" i="68"/>
  <c r="K163" i="68" s="1"/>
  <c r="J152" i="68"/>
  <c r="K152" i="68" s="1"/>
  <c r="J133" i="68"/>
  <c r="K133" i="68" s="1"/>
  <c r="J164" i="68"/>
  <c r="K164" i="68" s="1"/>
  <c r="J148" i="68"/>
  <c r="K148" i="68" s="1"/>
  <c r="J127" i="68"/>
  <c r="K127" i="68" s="1"/>
  <c r="J144" i="68"/>
  <c r="K144" i="68" s="1"/>
  <c r="J123" i="68"/>
  <c r="K123" i="68" s="1"/>
  <c r="J179" i="68"/>
  <c r="K179" i="68" s="1"/>
  <c r="J175" i="68"/>
  <c r="K175" i="68" s="1"/>
  <c r="J171" i="68"/>
  <c r="K171" i="68" s="1"/>
  <c r="J165" i="68"/>
  <c r="K165" i="68" s="1"/>
  <c r="J161" i="68"/>
  <c r="K161" i="68" s="1"/>
  <c r="J157" i="68"/>
  <c r="K157" i="68" s="1"/>
  <c r="J155" i="68"/>
  <c r="K155" i="68" s="1"/>
  <c r="J149" i="68"/>
  <c r="K149" i="68" s="1"/>
  <c r="J140" i="68"/>
  <c r="K140" i="68" s="1"/>
  <c r="J135" i="68"/>
  <c r="K135" i="68" s="1"/>
  <c r="J178" i="68"/>
  <c r="K178" i="68" s="1"/>
  <c r="J172" i="68"/>
  <c r="K172" i="68" s="1"/>
  <c r="J166" i="68"/>
  <c r="K166" i="68" s="1"/>
  <c r="J162" i="68"/>
  <c r="K162" i="68" s="1"/>
  <c r="J158" i="68"/>
  <c r="K158" i="68" s="1"/>
  <c r="J150" i="68"/>
  <c r="K150" i="68" s="1"/>
  <c r="J147" i="68"/>
  <c r="K147" i="68" s="1"/>
  <c r="J139" i="68"/>
  <c r="K139" i="68" s="1"/>
  <c r="J129" i="68"/>
  <c r="K129" i="68" s="1"/>
  <c r="J125" i="68"/>
  <c r="K125" i="68" s="1"/>
  <c r="J146" i="68"/>
  <c r="K146" i="68" s="1"/>
  <c r="J142" i="68"/>
  <c r="K142" i="68" s="1"/>
  <c r="J132" i="68"/>
  <c r="K132" i="68" s="1"/>
  <c r="J124" i="68"/>
  <c r="K124" i="68" s="1"/>
  <c r="J121" i="68"/>
  <c r="J174" i="68"/>
  <c r="K174" i="68" s="1"/>
  <c r="J169" i="68"/>
  <c r="K169" i="68" s="1"/>
  <c r="J159" i="68"/>
  <c r="K159" i="68" s="1"/>
  <c r="J156" i="68"/>
  <c r="K156" i="68" s="1"/>
  <c r="J145" i="68"/>
  <c r="K145" i="68" s="1"/>
  <c r="J138" i="68"/>
  <c r="K138" i="68" s="1"/>
  <c r="J176" i="68"/>
  <c r="K176" i="68" s="1"/>
  <c r="J170" i="68"/>
  <c r="K170" i="68" s="1"/>
  <c r="J160" i="68"/>
  <c r="K160" i="68" s="1"/>
  <c r="J154" i="68"/>
  <c r="K154" i="68" s="1"/>
  <c r="J143" i="68"/>
  <c r="K143" i="68" s="1"/>
  <c r="J137" i="68"/>
  <c r="K137" i="68" s="1"/>
  <c r="J122" i="68"/>
  <c r="K122" i="68" s="1"/>
  <c r="J134" i="68"/>
  <c r="K134" i="68" s="1"/>
  <c r="J128" i="68"/>
  <c r="K128" i="68" s="1"/>
  <c r="J116" i="67"/>
  <c r="J293" i="67" s="1"/>
  <c r="K45" i="67"/>
  <c r="J39" i="66"/>
  <c r="J93" i="66"/>
  <c r="K93" i="66" s="1"/>
  <c r="J54" i="66"/>
  <c r="K54" i="66" s="1"/>
  <c r="J45" i="66"/>
  <c r="K45" i="66" s="1"/>
  <c r="J86" i="66"/>
  <c r="K86" i="66" s="1"/>
  <c r="J98" i="66"/>
  <c r="K98" i="66" s="1"/>
  <c r="J56" i="66"/>
  <c r="K56" i="66" s="1"/>
  <c r="J69" i="66"/>
  <c r="K69" i="66" s="1"/>
  <c r="J80" i="66"/>
  <c r="K80" i="66" s="1"/>
  <c r="J112" i="66"/>
  <c r="K112" i="66" s="1"/>
  <c r="J42" i="66"/>
  <c r="J72" i="66"/>
  <c r="K72" i="66" s="1"/>
  <c r="J92" i="66"/>
  <c r="K92" i="66" s="1"/>
  <c r="J106" i="66"/>
  <c r="K106" i="66" s="1"/>
  <c r="J113" i="66"/>
  <c r="K113" i="66" s="1"/>
  <c r="J49" i="66"/>
  <c r="K49" i="66" s="1"/>
  <c r="J62" i="66"/>
  <c r="K62" i="66" s="1"/>
  <c r="J77" i="66"/>
  <c r="K77" i="66" s="1"/>
  <c r="J96" i="66"/>
  <c r="K96" i="66" s="1"/>
  <c r="J180" i="68" l="1"/>
  <c r="K121" i="68"/>
  <c r="J39" i="68"/>
  <c r="J43" i="68"/>
  <c r="K43" i="68" s="1"/>
  <c r="J53" i="68"/>
  <c r="K53" i="68" s="1"/>
  <c r="J57" i="68"/>
  <c r="K57" i="68" s="1"/>
  <c r="J119" i="68"/>
  <c r="K119" i="68" s="1"/>
  <c r="J115" i="68"/>
  <c r="K115" i="68" s="1"/>
  <c r="J111" i="68"/>
  <c r="K111" i="68" s="1"/>
  <c r="J108" i="68"/>
  <c r="K108" i="68" s="1"/>
  <c r="J104" i="68"/>
  <c r="K104" i="68" s="1"/>
  <c r="J100" i="68"/>
  <c r="K100" i="68" s="1"/>
  <c r="J97" i="68"/>
  <c r="K97" i="68" s="1"/>
  <c r="J89" i="68"/>
  <c r="K89" i="68" s="1"/>
  <c r="J84" i="68"/>
  <c r="K84" i="68" s="1"/>
  <c r="J79" i="68"/>
  <c r="K79" i="68" s="1"/>
  <c r="J118" i="68"/>
  <c r="K118" i="68" s="1"/>
  <c r="J110" i="68"/>
  <c r="K110" i="68" s="1"/>
  <c r="J103" i="68"/>
  <c r="K103" i="68" s="1"/>
  <c r="J95" i="68"/>
  <c r="K95" i="68" s="1"/>
  <c r="J90" i="68"/>
  <c r="K90" i="68" s="1"/>
  <c r="J85" i="68"/>
  <c r="K85" i="68" s="1"/>
  <c r="J82" i="68"/>
  <c r="K82" i="68" s="1"/>
  <c r="J76" i="68"/>
  <c r="K76" i="68" s="1"/>
  <c r="J65" i="68"/>
  <c r="K65" i="68" s="1"/>
  <c r="J61" i="68"/>
  <c r="K61" i="68" s="1"/>
  <c r="J58" i="68"/>
  <c r="K58" i="68" s="1"/>
  <c r="J48" i="68"/>
  <c r="K48" i="68" s="1"/>
  <c r="J67" i="68"/>
  <c r="K67" i="68" s="1"/>
  <c r="J70" i="68"/>
  <c r="K70" i="68" s="1"/>
  <c r="J44" i="68"/>
  <c r="K44" i="68" s="1"/>
  <c r="J50" i="68"/>
  <c r="K50" i="68" s="1"/>
  <c r="J55" i="68"/>
  <c r="K55" i="68" s="1"/>
  <c r="J59" i="68"/>
  <c r="K59" i="68" s="1"/>
  <c r="J117" i="68"/>
  <c r="K117" i="68" s="1"/>
  <c r="J114" i="68"/>
  <c r="K114" i="68" s="1"/>
  <c r="J109" i="68"/>
  <c r="K109" i="68" s="1"/>
  <c r="J107" i="68"/>
  <c r="K107" i="68" s="1"/>
  <c r="J102" i="68"/>
  <c r="K102" i="68" s="1"/>
  <c r="J99" i="68"/>
  <c r="K99" i="68" s="1"/>
  <c r="J91" i="68"/>
  <c r="K91" i="68" s="1"/>
  <c r="J87" i="68"/>
  <c r="K87" i="68" s="1"/>
  <c r="J81" i="68"/>
  <c r="K81" i="68" s="1"/>
  <c r="J75" i="68"/>
  <c r="K75" i="68" s="1"/>
  <c r="J116" i="68"/>
  <c r="K116" i="68" s="1"/>
  <c r="J105" i="68"/>
  <c r="K105" i="68" s="1"/>
  <c r="J101" i="68"/>
  <c r="K101" i="68" s="1"/>
  <c r="J94" i="68"/>
  <c r="K94" i="68" s="1"/>
  <c r="J88" i="68"/>
  <c r="K88" i="68" s="1"/>
  <c r="J83" i="68"/>
  <c r="K83" i="68" s="1"/>
  <c r="J78" i="68"/>
  <c r="K78" i="68" s="1"/>
  <c r="J74" i="68"/>
  <c r="K74" i="68" s="1"/>
  <c r="J68" i="68"/>
  <c r="K68" i="68" s="1"/>
  <c r="J64" i="68"/>
  <c r="K64" i="68" s="1"/>
  <c r="J60" i="68"/>
  <c r="K60" i="68" s="1"/>
  <c r="J42" i="68"/>
  <c r="J47" i="68"/>
  <c r="K47" i="68" s="1"/>
  <c r="J51" i="68"/>
  <c r="K51" i="68" s="1"/>
  <c r="J66" i="68"/>
  <c r="K66" i="68" s="1"/>
  <c r="J71" i="68"/>
  <c r="K71" i="68" s="1"/>
  <c r="J46" i="68"/>
  <c r="K46" i="68" s="1"/>
  <c r="J52" i="68"/>
  <c r="K52" i="68" s="1"/>
  <c r="J63" i="68"/>
  <c r="K63" i="68" s="1"/>
  <c r="J73" i="68"/>
  <c r="K73" i="68" s="1"/>
  <c r="J116" i="66"/>
  <c r="J293" i="66" s="1"/>
  <c r="K42" i="66"/>
  <c r="K116" i="67"/>
  <c r="K307" i="68"/>
  <c r="J38" i="68"/>
  <c r="K180" i="68" l="1"/>
  <c r="K293" i="67"/>
  <c r="K116" i="66"/>
  <c r="J120" i="68"/>
  <c r="J308" i="68" s="1"/>
  <c r="K42" i="68"/>
  <c r="K293" i="66" l="1"/>
  <c r="K120" i="68"/>
  <c r="K308" i="68" l="1"/>
  <c r="F313" i="65" l="1"/>
  <c r="E313" i="65"/>
  <c r="D313" i="65"/>
  <c r="G312" i="65"/>
  <c r="G311" i="65"/>
  <c r="G310" i="65"/>
  <c r="G309" i="65"/>
  <c r="G308" i="65"/>
  <c r="G307" i="65"/>
  <c r="G306" i="65"/>
  <c r="G305" i="65"/>
  <c r="G304" i="65"/>
  <c r="G303" i="65"/>
  <c r="G302" i="65"/>
  <c r="G301" i="65"/>
  <c r="G300" i="65"/>
  <c r="G299" i="65"/>
  <c r="G298" i="65"/>
  <c r="G313" i="65" s="1"/>
  <c r="D292" i="65"/>
  <c r="G291" i="65"/>
  <c r="H291" i="65" s="1"/>
  <c r="K291" i="65" s="1"/>
  <c r="I290" i="65"/>
  <c r="H290" i="65"/>
  <c r="H289" i="65"/>
  <c r="K289" i="65" s="1"/>
  <c r="G289" i="65"/>
  <c r="G288" i="65"/>
  <c r="H288" i="65" s="1"/>
  <c r="K288" i="65" s="1"/>
  <c r="I287" i="65"/>
  <c r="H287" i="65"/>
  <c r="I286" i="65"/>
  <c r="H286" i="65"/>
  <c r="I285" i="65"/>
  <c r="H285" i="65"/>
  <c r="I284" i="65"/>
  <c r="H284" i="65"/>
  <c r="H283" i="65"/>
  <c r="K283" i="65" s="1"/>
  <c r="G283" i="65"/>
  <c r="K282" i="65"/>
  <c r="H282" i="65"/>
  <c r="G281" i="65"/>
  <c r="H281" i="65" s="1"/>
  <c r="K281" i="65" s="1"/>
  <c r="I280" i="65"/>
  <c r="H280" i="65"/>
  <c r="H279" i="65"/>
  <c r="K279" i="65" s="1"/>
  <c r="G279" i="65"/>
  <c r="I278" i="65"/>
  <c r="H278" i="65"/>
  <c r="G277" i="65"/>
  <c r="H277" i="65" s="1"/>
  <c r="K277" i="65" s="1"/>
  <c r="H276" i="65"/>
  <c r="K276" i="65" s="1"/>
  <c r="I275" i="65"/>
  <c r="H275" i="65"/>
  <c r="H274" i="65"/>
  <c r="K274" i="65" s="1"/>
  <c r="G274" i="65"/>
  <c r="I273" i="65"/>
  <c r="H273" i="65"/>
  <c r="I272" i="65"/>
  <c r="H272" i="65"/>
  <c r="K271" i="65"/>
  <c r="H271" i="65"/>
  <c r="I270" i="65"/>
  <c r="H270" i="65"/>
  <c r="I269" i="65"/>
  <c r="H269" i="65"/>
  <c r="K268" i="65"/>
  <c r="G268" i="65"/>
  <c r="H268" i="65" s="1"/>
  <c r="H267" i="65"/>
  <c r="K267" i="65" s="1"/>
  <c r="G267" i="65"/>
  <c r="K266" i="65"/>
  <c r="G266" i="65"/>
  <c r="H266" i="65" s="1"/>
  <c r="H265" i="65"/>
  <c r="K265" i="65" s="1"/>
  <c r="G265" i="65"/>
  <c r="K264" i="65"/>
  <c r="H264" i="65"/>
  <c r="I263" i="65"/>
  <c r="H263" i="65"/>
  <c r="G262" i="65"/>
  <c r="H262" i="65" s="1"/>
  <c r="K262" i="65" s="1"/>
  <c r="I261" i="65"/>
  <c r="H261" i="65"/>
  <c r="H260" i="65"/>
  <c r="K260" i="65" s="1"/>
  <c r="G260" i="65"/>
  <c r="I259" i="65"/>
  <c r="H259" i="65"/>
  <c r="I258" i="65"/>
  <c r="H258" i="65"/>
  <c r="K257" i="65"/>
  <c r="G257" i="65"/>
  <c r="H257" i="65" s="1"/>
  <c r="I256" i="65"/>
  <c r="H256" i="65"/>
  <c r="I255" i="65"/>
  <c r="H255" i="65"/>
  <c r="I254" i="65"/>
  <c r="H254" i="65"/>
  <c r="I253" i="65"/>
  <c r="H253" i="65"/>
  <c r="H252" i="65"/>
  <c r="K252" i="65" s="1"/>
  <c r="G252" i="65"/>
  <c r="I251" i="65"/>
  <c r="H251" i="65"/>
  <c r="I250" i="65"/>
  <c r="H250" i="65"/>
  <c r="I249" i="65"/>
  <c r="H249" i="65"/>
  <c r="I248" i="65"/>
  <c r="H248" i="65"/>
  <c r="I247" i="65"/>
  <c r="H247" i="65"/>
  <c r="K246" i="65"/>
  <c r="H246" i="65"/>
  <c r="G245" i="65"/>
  <c r="H245" i="65" s="1"/>
  <c r="K245" i="65" s="1"/>
  <c r="H244" i="65"/>
  <c r="K244" i="65" s="1"/>
  <c r="G244" i="65"/>
  <c r="I243" i="65"/>
  <c r="H243" i="65"/>
  <c r="K242" i="65"/>
  <c r="G242" i="65"/>
  <c r="H242" i="65" s="1"/>
  <c r="H241" i="65"/>
  <c r="K241" i="65" s="1"/>
  <c r="H240" i="65"/>
  <c r="K240" i="65" s="1"/>
  <c r="H239" i="65"/>
  <c r="K239" i="65" s="1"/>
  <c r="I238" i="65"/>
  <c r="H238" i="65"/>
  <c r="H237" i="65"/>
  <c r="K237" i="65" s="1"/>
  <c r="G237" i="65"/>
  <c r="K236" i="65"/>
  <c r="H236" i="65"/>
  <c r="K235" i="65"/>
  <c r="H235" i="65"/>
  <c r="K234" i="65"/>
  <c r="G234" i="65"/>
  <c r="H234" i="65" s="1"/>
  <c r="H233" i="65"/>
  <c r="K233" i="65" s="1"/>
  <c r="I232" i="65"/>
  <c r="H232" i="65"/>
  <c r="H231" i="65"/>
  <c r="K231" i="65" s="1"/>
  <c r="G231" i="65"/>
  <c r="I230" i="65"/>
  <c r="H230" i="65"/>
  <c r="I229" i="65"/>
  <c r="H229" i="65"/>
  <c r="I228" i="65"/>
  <c r="H228" i="65"/>
  <c r="I227" i="65"/>
  <c r="I292" i="65" s="1"/>
  <c r="H227" i="65"/>
  <c r="D226" i="65"/>
  <c r="I225" i="65"/>
  <c r="H225" i="65"/>
  <c r="K225" i="65" s="1"/>
  <c r="I224" i="65"/>
  <c r="H224" i="65"/>
  <c r="K224" i="65" s="1"/>
  <c r="I223" i="65"/>
  <c r="H223" i="65"/>
  <c r="H222" i="65"/>
  <c r="G222" i="65"/>
  <c r="I221" i="65"/>
  <c r="H221" i="65"/>
  <c r="K221" i="65" s="1"/>
  <c r="G220" i="65"/>
  <c r="H220" i="65" s="1"/>
  <c r="G219" i="65"/>
  <c r="H219" i="65" s="1"/>
  <c r="G218" i="65"/>
  <c r="H218" i="65" s="1"/>
  <c r="G217" i="65"/>
  <c r="H217" i="65" s="1"/>
  <c r="I216" i="65"/>
  <c r="H216" i="65"/>
  <c r="H215" i="65"/>
  <c r="G214" i="65"/>
  <c r="H214" i="65" s="1"/>
  <c r="G213" i="65"/>
  <c r="H213" i="65" s="1"/>
  <c r="G212" i="65"/>
  <c r="H212" i="65" s="1"/>
  <c r="I211" i="65"/>
  <c r="H211" i="65"/>
  <c r="K211" i="65" s="1"/>
  <c r="I210" i="65"/>
  <c r="H210" i="65"/>
  <c r="K210" i="65" s="1"/>
  <c r="G209" i="65"/>
  <c r="H209" i="65" s="1"/>
  <c r="G208" i="65"/>
  <c r="H208" i="65" s="1"/>
  <c r="G207" i="65"/>
  <c r="H207" i="65" s="1"/>
  <c r="G206" i="65"/>
  <c r="H206" i="65" s="1"/>
  <c r="I205" i="65"/>
  <c r="H205" i="65"/>
  <c r="K205" i="65" s="1"/>
  <c r="H204" i="65"/>
  <c r="G204" i="65"/>
  <c r="E203" i="65"/>
  <c r="G203" i="65" s="1"/>
  <c r="H203" i="65" s="1"/>
  <c r="G202" i="65"/>
  <c r="H202" i="65" s="1"/>
  <c r="E202" i="65"/>
  <c r="I201" i="65"/>
  <c r="H201" i="65"/>
  <c r="K201" i="65" s="1"/>
  <c r="G200" i="65"/>
  <c r="H200" i="65" s="1"/>
  <c r="G199" i="65"/>
  <c r="H199" i="65" s="1"/>
  <c r="I198" i="65"/>
  <c r="H198" i="65"/>
  <c r="K198" i="65" s="1"/>
  <c r="H197" i="65"/>
  <c r="G197" i="65"/>
  <c r="H196" i="65"/>
  <c r="H195" i="65"/>
  <c r="H194" i="65"/>
  <c r="G194" i="65"/>
  <c r="H193" i="65"/>
  <c r="G193" i="65"/>
  <c r="I192" i="65"/>
  <c r="H192" i="65"/>
  <c r="K192" i="65" s="1"/>
  <c r="G191" i="65"/>
  <c r="H191" i="65" s="1"/>
  <c r="G190" i="65"/>
  <c r="H190" i="65" s="1"/>
  <c r="G189" i="65"/>
  <c r="H189" i="65" s="1"/>
  <c r="G188" i="65"/>
  <c r="H188" i="65" s="1"/>
  <c r="I187" i="65"/>
  <c r="H187" i="65"/>
  <c r="K187" i="65" s="1"/>
  <c r="H186" i="65"/>
  <c r="G186" i="65"/>
  <c r="H185" i="65"/>
  <c r="I184" i="65"/>
  <c r="H184" i="65"/>
  <c r="K184" i="65" s="1"/>
  <c r="H183" i="65"/>
  <c r="G182" i="65"/>
  <c r="H182" i="65" s="1"/>
  <c r="G181" i="65"/>
  <c r="H181" i="65" s="1"/>
  <c r="G180" i="65"/>
  <c r="H180" i="65" s="1"/>
  <c r="I179" i="65"/>
  <c r="I226" i="65" s="1"/>
  <c r="H179" i="65"/>
  <c r="K179" i="65" s="1"/>
  <c r="H178" i="65"/>
  <c r="G178" i="65"/>
  <c r="H177" i="65"/>
  <c r="G177" i="65"/>
  <c r="H176" i="65"/>
  <c r="G176" i="65"/>
  <c r="H175" i="65"/>
  <c r="G175" i="65"/>
  <c r="H174" i="65"/>
  <c r="D173" i="65"/>
  <c r="G172" i="65"/>
  <c r="H172" i="65" s="1"/>
  <c r="K172" i="65" s="1"/>
  <c r="H171" i="65"/>
  <c r="K171" i="65" s="1"/>
  <c r="I170" i="65"/>
  <c r="H170" i="65"/>
  <c r="I169" i="65"/>
  <c r="H169" i="65"/>
  <c r="H168" i="65"/>
  <c r="K168" i="65" s="1"/>
  <c r="G168" i="65"/>
  <c r="G167" i="65"/>
  <c r="H167" i="65" s="1"/>
  <c r="K167" i="65" s="1"/>
  <c r="H166" i="65"/>
  <c r="K166" i="65" s="1"/>
  <c r="G166" i="65"/>
  <c r="G165" i="65"/>
  <c r="H165" i="65" s="1"/>
  <c r="K165" i="65" s="1"/>
  <c r="I164" i="65"/>
  <c r="H164" i="65"/>
  <c r="I163" i="65"/>
  <c r="H163" i="65"/>
  <c r="H162" i="65"/>
  <c r="K162" i="65" s="1"/>
  <c r="G162" i="65"/>
  <c r="G161" i="65"/>
  <c r="H161" i="65" s="1"/>
  <c r="K161" i="65" s="1"/>
  <c r="H160" i="65"/>
  <c r="K160" i="65" s="1"/>
  <c r="G160" i="65"/>
  <c r="G159" i="65"/>
  <c r="H159" i="65" s="1"/>
  <c r="K159" i="65" s="1"/>
  <c r="H158" i="65"/>
  <c r="K158" i="65" s="1"/>
  <c r="G158" i="65"/>
  <c r="G157" i="65"/>
  <c r="H157" i="65" s="1"/>
  <c r="K157" i="65" s="1"/>
  <c r="H156" i="65"/>
  <c r="K156" i="65" s="1"/>
  <c r="G156" i="65"/>
  <c r="G155" i="65"/>
  <c r="H155" i="65" s="1"/>
  <c r="K155" i="65" s="1"/>
  <c r="H154" i="65"/>
  <c r="K154" i="65" s="1"/>
  <c r="G154" i="65"/>
  <c r="K153" i="65"/>
  <c r="H153" i="65"/>
  <c r="K152" i="65"/>
  <c r="H152" i="65"/>
  <c r="G151" i="65"/>
  <c r="H151" i="65" s="1"/>
  <c r="K151" i="65" s="1"/>
  <c r="H150" i="65"/>
  <c r="K150" i="65" s="1"/>
  <c r="G150" i="65"/>
  <c r="I149" i="65"/>
  <c r="H149" i="65"/>
  <c r="G148" i="65"/>
  <c r="H148" i="65" s="1"/>
  <c r="K148" i="65" s="1"/>
  <c r="I147" i="65"/>
  <c r="H147" i="65"/>
  <c r="E146" i="65"/>
  <c r="G146" i="65" s="1"/>
  <c r="H146" i="65" s="1"/>
  <c r="K146" i="65" s="1"/>
  <c r="H145" i="65"/>
  <c r="K145" i="65" s="1"/>
  <c r="E145" i="65"/>
  <c r="G144" i="65"/>
  <c r="H144" i="65" s="1"/>
  <c r="K144" i="65" s="1"/>
  <c r="H143" i="65"/>
  <c r="K143" i="65" s="1"/>
  <c r="H142" i="65"/>
  <c r="K142" i="65" s="1"/>
  <c r="G142" i="65"/>
  <c r="G141" i="65"/>
  <c r="H141" i="65" s="1"/>
  <c r="K141" i="65" s="1"/>
  <c r="H140" i="65"/>
  <c r="K140" i="65" s="1"/>
  <c r="I139" i="65"/>
  <c r="H139" i="65"/>
  <c r="H138" i="65"/>
  <c r="K138" i="65" s="1"/>
  <c r="G138" i="65"/>
  <c r="I137" i="65"/>
  <c r="H137" i="65"/>
  <c r="K136" i="65"/>
  <c r="G136" i="65"/>
  <c r="H136" i="65" s="1"/>
  <c r="H135" i="65"/>
  <c r="K135" i="65" s="1"/>
  <c r="G135" i="65"/>
  <c r="K134" i="65"/>
  <c r="G134" i="65"/>
  <c r="H134" i="65" s="1"/>
  <c r="H133" i="65"/>
  <c r="K133" i="65" s="1"/>
  <c r="G133" i="65"/>
  <c r="I132" i="65"/>
  <c r="H132" i="65"/>
  <c r="G131" i="65"/>
  <c r="H131" i="65" s="1"/>
  <c r="K131" i="65" s="1"/>
  <c r="H130" i="65"/>
  <c r="K130" i="65" s="1"/>
  <c r="G130" i="65"/>
  <c r="I129" i="65"/>
  <c r="H129" i="65"/>
  <c r="K128" i="65"/>
  <c r="G128" i="65"/>
  <c r="H128" i="65" s="1"/>
  <c r="I127" i="65"/>
  <c r="H127" i="65"/>
  <c r="I126" i="65"/>
  <c r="H126" i="65"/>
  <c r="H125" i="65"/>
  <c r="K125" i="65" s="1"/>
  <c r="G125" i="65"/>
  <c r="K124" i="65"/>
  <c r="G124" i="65"/>
  <c r="H124" i="65" s="1"/>
  <c r="H123" i="65"/>
  <c r="K123" i="65" s="1"/>
  <c r="I122" i="65"/>
  <c r="H122" i="65"/>
  <c r="H121" i="65"/>
  <c r="K121" i="65" s="1"/>
  <c r="G121" i="65"/>
  <c r="K120" i="65"/>
  <c r="H120" i="65"/>
  <c r="K119" i="65"/>
  <c r="G119" i="65"/>
  <c r="H119" i="65" s="1"/>
  <c r="H118" i="65"/>
  <c r="K118" i="65" s="1"/>
  <c r="G118" i="65"/>
  <c r="I117" i="65"/>
  <c r="H117" i="65"/>
  <c r="H173" i="65" s="1"/>
  <c r="D116" i="65"/>
  <c r="D293" i="65" s="1"/>
  <c r="I115" i="65"/>
  <c r="H115" i="65"/>
  <c r="I114" i="65"/>
  <c r="H114" i="65"/>
  <c r="I113" i="65"/>
  <c r="H113" i="65"/>
  <c r="I112" i="65"/>
  <c r="H112" i="65"/>
  <c r="H111" i="65"/>
  <c r="K111" i="65" s="1"/>
  <c r="G111" i="65"/>
  <c r="G110" i="65"/>
  <c r="H110" i="65" s="1"/>
  <c r="K110" i="65" s="1"/>
  <c r="H109" i="65"/>
  <c r="K109" i="65" s="1"/>
  <c r="G109" i="65"/>
  <c r="F108" i="65"/>
  <c r="F293" i="65" s="1"/>
  <c r="E108" i="65"/>
  <c r="E293" i="65" s="1"/>
  <c r="H107" i="65"/>
  <c r="K107" i="65" s="1"/>
  <c r="G107" i="65"/>
  <c r="I106" i="65"/>
  <c r="H106" i="65"/>
  <c r="I105" i="65"/>
  <c r="H105" i="65"/>
  <c r="G104" i="65"/>
  <c r="H104" i="65" s="1"/>
  <c r="K104" i="65" s="1"/>
  <c r="H103" i="65"/>
  <c r="K103" i="65" s="1"/>
  <c r="G103" i="65"/>
  <c r="G102" i="65"/>
  <c r="H102" i="65" s="1"/>
  <c r="K102" i="65" s="1"/>
  <c r="H101" i="65"/>
  <c r="K101" i="65" s="1"/>
  <c r="G101" i="65"/>
  <c r="G100" i="65"/>
  <c r="H100" i="65" s="1"/>
  <c r="K100" i="65" s="1"/>
  <c r="I99" i="65"/>
  <c r="H99" i="65"/>
  <c r="I98" i="65"/>
  <c r="H98" i="65"/>
  <c r="H97" i="65"/>
  <c r="K97" i="65" s="1"/>
  <c r="G97" i="65"/>
  <c r="I96" i="65"/>
  <c r="H96" i="65"/>
  <c r="K95" i="65"/>
  <c r="H95" i="65"/>
  <c r="G94" i="65"/>
  <c r="H94" i="65" s="1"/>
  <c r="K94" i="65" s="1"/>
  <c r="I93" i="65"/>
  <c r="H93" i="65"/>
  <c r="I92" i="65"/>
  <c r="H92" i="65"/>
  <c r="H91" i="65"/>
  <c r="K91" i="65" s="1"/>
  <c r="G91" i="65"/>
  <c r="G90" i="65"/>
  <c r="H90" i="65" s="1"/>
  <c r="K90" i="65" s="1"/>
  <c r="H89" i="65"/>
  <c r="K89" i="65" s="1"/>
  <c r="G89" i="65"/>
  <c r="K88" i="65"/>
  <c r="H88" i="65"/>
  <c r="G87" i="65"/>
  <c r="H87" i="65" s="1"/>
  <c r="K87" i="65" s="1"/>
  <c r="I86" i="65"/>
  <c r="H86" i="65"/>
  <c r="H85" i="65"/>
  <c r="K85" i="65" s="1"/>
  <c r="G85" i="65"/>
  <c r="G84" i="65"/>
  <c r="H84" i="65" s="1"/>
  <c r="K84" i="65" s="1"/>
  <c r="H83" i="65"/>
  <c r="K83" i="65" s="1"/>
  <c r="H82" i="65"/>
  <c r="K82" i="65" s="1"/>
  <c r="G82" i="65"/>
  <c r="K81" i="65"/>
  <c r="H81" i="65"/>
  <c r="I80" i="65"/>
  <c r="H80" i="65"/>
  <c r="G79" i="65"/>
  <c r="H79" i="65" s="1"/>
  <c r="K79" i="65" s="1"/>
  <c r="H78" i="65"/>
  <c r="K78" i="65" s="1"/>
  <c r="I77" i="65"/>
  <c r="H77" i="65"/>
  <c r="I76" i="65"/>
  <c r="H76" i="65"/>
  <c r="I75" i="65"/>
  <c r="H75" i="65"/>
  <c r="H74" i="65"/>
  <c r="K74" i="65" s="1"/>
  <c r="G74" i="65"/>
  <c r="G73" i="65"/>
  <c r="H73" i="65" s="1"/>
  <c r="K73" i="65" s="1"/>
  <c r="I72" i="65"/>
  <c r="H72" i="65"/>
  <c r="H71" i="65"/>
  <c r="K71" i="65" s="1"/>
  <c r="G71" i="65"/>
  <c r="G70" i="65"/>
  <c r="H70" i="65" s="1"/>
  <c r="K70" i="65" s="1"/>
  <c r="I69" i="65"/>
  <c r="H69" i="65"/>
  <c r="H68" i="65"/>
  <c r="K68" i="65" s="1"/>
  <c r="G68" i="65"/>
  <c r="G67" i="65"/>
  <c r="H67" i="65" s="1"/>
  <c r="K67" i="65" s="1"/>
  <c r="H66" i="65"/>
  <c r="K66" i="65" s="1"/>
  <c r="G66" i="65"/>
  <c r="I65" i="65"/>
  <c r="H65" i="65"/>
  <c r="G64" i="65"/>
  <c r="H64" i="65" s="1"/>
  <c r="K64" i="65" s="1"/>
  <c r="H63" i="65"/>
  <c r="K63" i="65" s="1"/>
  <c r="G63" i="65"/>
  <c r="I62" i="65"/>
  <c r="H62" i="65"/>
  <c r="K61" i="65"/>
  <c r="H61" i="65"/>
  <c r="G60" i="65"/>
  <c r="H60" i="65" s="1"/>
  <c r="K60" i="65" s="1"/>
  <c r="H59" i="65"/>
  <c r="K59" i="65" s="1"/>
  <c r="G59" i="65"/>
  <c r="G58" i="65"/>
  <c r="H58" i="65" s="1"/>
  <c r="K58" i="65" s="1"/>
  <c r="H57" i="65"/>
  <c r="K57" i="65" s="1"/>
  <c r="G57" i="65"/>
  <c r="I56" i="65"/>
  <c r="H56" i="65"/>
  <c r="I55" i="65"/>
  <c r="H55" i="65"/>
  <c r="I54" i="65"/>
  <c r="H54" i="65"/>
  <c r="G53" i="65"/>
  <c r="H53" i="65" s="1"/>
  <c r="K53" i="65" s="1"/>
  <c r="I52" i="65"/>
  <c r="H52" i="65"/>
  <c r="H51" i="65"/>
  <c r="K51" i="65" s="1"/>
  <c r="G51" i="65"/>
  <c r="I50" i="65"/>
  <c r="H50" i="65"/>
  <c r="I49" i="65"/>
  <c r="H49" i="65"/>
  <c r="K48" i="65"/>
  <c r="H48" i="65"/>
  <c r="K47" i="65"/>
  <c r="H47" i="65"/>
  <c r="G46" i="65"/>
  <c r="H46" i="65" s="1"/>
  <c r="K46" i="65" s="1"/>
  <c r="I45" i="65"/>
  <c r="H45" i="65"/>
  <c r="H44" i="65"/>
  <c r="K44" i="65" s="1"/>
  <c r="H43" i="65"/>
  <c r="K43" i="65" s="1"/>
  <c r="G43" i="65"/>
  <c r="I42" i="65"/>
  <c r="I116" i="65" s="1"/>
  <c r="H42" i="65"/>
  <c r="J36" i="65"/>
  <c r="E34" i="65"/>
  <c r="J33" i="65"/>
  <c r="E33" i="65"/>
  <c r="E32" i="65"/>
  <c r="E27" i="65"/>
  <c r="J26" i="65"/>
  <c r="E26" i="65"/>
  <c r="E25" i="65"/>
  <c r="J20" i="65"/>
  <c r="E20" i="65"/>
  <c r="E19" i="65"/>
  <c r="E18" i="65"/>
  <c r="E13" i="65"/>
  <c r="E12" i="65"/>
  <c r="E11" i="65"/>
  <c r="F313" i="64"/>
  <c r="E313" i="64"/>
  <c r="D313" i="64"/>
  <c r="G312" i="64"/>
  <c r="G311" i="64"/>
  <c r="G310" i="64"/>
  <c r="G309" i="64"/>
  <c r="G308" i="64"/>
  <c r="G307" i="64"/>
  <c r="G306" i="64"/>
  <c r="G305" i="64"/>
  <c r="G304" i="64"/>
  <c r="G303" i="64"/>
  <c r="G302" i="64"/>
  <c r="G301" i="64"/>
  <c r="G300" i="64"/>
  <c r="G299" i="64"/>
  <c r="G298" i="64"/>
  <c r="G313" i="64" s="1"/>
  <c r="D292" i="64"/>
  <c r="H291" i="64"/>
  <c r="K291" i="64" s="1"/>
  <c r="G291" i="64"/>
  <c r="I290" i="64"/>
  <c r="H290" i="64"/>
  <c r="G289" i="64"/>
  <c r="H289" i="64" s="1"/>
  <c r="K289" i="64" s="1"/>
  <c r="H288" i="64"/>
  <c r="K288" i="64" s="1"/>
  <c r="G288" i="64"/>
  <c r="I287" i="64"/>
  <c r="H287" i="64"/>
  <c r="I286" i="64"/>
  <c r="H286" i="64"/>
  <c r="I285" i="64"/>
  <c r="H285" i="64"/>
  <c r="I284" i="64"/>
  <c r="H284" i="64"/>
  <c r="G283" i="64"/>
  <c r="H283" i="64" s="1"/>
  <c r="K283" i="64" s="1"/>
  <c r="H282" i="64"/>
  <c r="K282" i="64" s="1"/>
  <c r="H281" i="64"/>
  <c r="K281" i="64" s="1"/>
  <c r="G281" i="64"/>
  <c r="I280" i="64"/>
  <c r="H280" i="64"/>
  <c r="G279" i="64"/>
  <c r="H279" i="64" s="1"/>
  <c r="K279" i="64" s="1"/>
  <c r="I278" i="64"/>
  <c r="H278" i="64"/>
  <c r="H277" i="64"/>
  <c r="K277" i="64" s="1"/>
  <c r="G277" i="64"/>
  <c r="K276" i="64"/>
  <c r="H276" i="64"/>
  <c r="I275" i="64"/>
  <c r="H275" i="64"/>
  <c r="G274" i="64"/>
  <c r="H274" i="64" s="1"/>
  <c r="K274" i="64" s="1"/>
  <c r="I273" i="64"/>
  <c r="H273" i="64"/>
  <c r="I272" i="64"/>
  <c r="H272" i="64"/>
  <c r="H271" i="64"/>
  <c r="K271" i="64" s="1"/>
  <c r="I270" i="64"/>
  <c r="H270" i="64"/>
  <c r="I269" i="64"/>
  <c r="H269" i="64"/>
  <c r="H268" i="64"/>
  <c r="K268" i="64" s="1"/>
  <c r="G268" i="64"/>
  <c r="K267" i="64"/>
  <c r="G267" i="64"/>
  <c r="H267" i="64" s="1"/>
  <c r="H266" i="64"/>
  <c r="K266" i="64" s="1"/>
  <c r="G266" i="64"/>
  <c r="K265" i="64"/>
  <c r="G265" i="64"/>
  <c r="H265" i="64" s="1"/>
  <c r="H264" i="64"/>
  <c r="K264" i="64" s="1"/>
  <c r="I263" i="64"/>
  <c r="H263" i="64"/>
  <c r="H262" i="64"/>
  <c r="K262" i="64" s="1"/>
  <c r="G262" i="64"/>
  <c r="I261" i="64"/>
  <c r="H261" i="64"/>
  <c r="G260" i="64"/>
  <c r="H260" i="64" s="1"/>
  <c r="K260" i="64" s="1"/>
  <c r="I259" i="64"/>
  <c r="H259" i="64"/>
  <c r="I258" i="64"/>
  <c r="H258" i="64"/>
  <c r="H257" i="64"/>
  <c r="K257" i="64" s="1"/>
  <c r="G257" i="64"/>
  <c r="I256" i="64"/>
  <c r="H256" i="64"/>
  <c r="I255" i="64"/>
  <c r="H255" i="64"/>
  <c r="I254" i="64"/>
  <c r="H254" i="64"/>
  <c r="I253" i="64"/>
  <c r="H253" i="64"/>
  <c r="G252" i="64"/>
  <c r="H252" i="64" s="1"/>
  <c r="K252" i="64" s="1"/>
  <c r="I251" i="64"/>
  <c r="H251" i="64"/>
  <c r="I250" i="64"/>
  <c r="H250" i="64"/>
  <c r="I249" i="64"/>
  <c r="H249" i="64"/>
  <c r="I248" i="64"/>
  <c r="H248" i="64"/>
  <c r="I247" i="64"/>
  <c r="H247" i="64"/>
  <c r="H246" i="64"/>
  <c r="K246" i="64" s="1"/>
  <c r="H245" i="64"/>
  <c r="K245" i="64" s="1"/>
  <c r="G245" i="64"/>
  <c r="G244" i="64"/>
  <c r="H244" i="64" s="1"/>
  <c r="K244" i="64" s="1"/>
  <c r="I243" i="64"/>
  <c r="H243" i="64"/>
  <c r="H242" i="64"/>
  <c r="K242" i="64" s="1"/>
  <c r="G242" i="64"/>
  <c r="K241" i="64"/>
  <c r="H241" i="64"/>
  <c r="K240" i="64"/>
  <c r="H240" i="64"/>
  <c r="K239" i="64"/>
  <c r="H239" i="64"/>
  <c r="I238" i="64"/>
  <c r="H238" i="64"/>
  <c r="G237" i="64"/>
  <c r="H237" i="64" s="1"/>
  <c r="K237" i="64" s="1"/>
  <c r="H236" i="64"/>
  <c r="K236" i="64" s="1"/>
  <c r="H235" i="64"/>
  <c r="K235" i="64" s="1"/>
  <c r="H234" i="64"/>
  <c r="K234" i="64" s="1"/>
  <c r="G234" i="64"/>
  <c r="K233" i="64"/>
  <c r="H233" i="64"/>
  <c r="I232" i="64"/>
  <c r="H232" i="64"/>
  <c r="G231" i="64"/>
  <c r="H231" i="64" s="1"/>
  <c r="K231" i="64" s="1"/>
  <c r="I230" i="64"/>
  <c r="H230" i="64"/>
  <c r="I229" i="64"/>
  <c r="H229" i="64"/>
  <c r="I228" i="64"/>
  <c r="H228" i="64"/>
  <c r="I227" i="64"/>
  <c r="I292" i="64" s="1"/>
  <c r="H227" i="64"/>
  <c r="D226" i="64"/>
  <c r="I225" i="64"/>
  <c r="H225" i="64"/>
  <c r="K225" i="64" s="1"/>
  <c r="I224" i="64"/>
  <c r="H224" i="64"/>
  <c r="K224" i="64" s="1"/>
  <c r="I223" i="64"/>
  <c r="H223" i="64"/>
  <c r="K223" i="64" s="1"/>
  <c r="G222" i="64"/>
  <c r="H222" i="64" s="1"/>
  <c r="I221" i="64"/>
  <c r="H221" i="64"/>
  <c r="K221" i="64" s="1"/>
  <c r="H220" i="64"/>
  <c r="G220" i="64"/>
  <c r="H219" i="64"/>
  <c r="G219" i="64"/>
  <c r="H218" i="64"/>
  <c r="G218" i="64"/>
  <c r="H217" i="64"/>
  <c r="G217" i="64"/>
  <c r="I216" i="64"/>
  <c r="H216" i="64"/>
  <c r="K216" i="64" s="1"/>
  <c r="H215" i="64"/>
  <c r="H214" i="64"/>
  <c r="G214" i="64"/>
  <c r="H213" i="64"/>
  <c r="G213" i="64"/>
  <c r="H212" i="64"/>
  <c r="G212" i="64"/>
  <c r="I211" i="64"/>
  <c r="H211" i="64"/>
  <c r="K211" i="64" s="1"/>
  <c r="I210" i="64"/>
  <c r="H210" i="64"/>
  <c r="K210" i="64" s="1"/>
  <c r="G209" i="64"/>
  <c r="H209" i="64" s="1"/>
  <c r="G208" i="64"/>
  <c r="H208" i="64" s="1"/>
  <c r="G207" i="64"/>
  <c r="H207" i="64" s="1"/>
  <c r="G206" i="64"/>
  <c r="H206" i="64" s="1"/>
  <c r="I205" i="64"/>
  <c r="H205" i="64"/>
  <c r="K205" i="64" s="1"/>
  <c r="H204" i="64"/>
  <c r="G204" i="64"/>
  <c r="F203" i="64"/>
  <c r="G203" i="64" s="1"/>
  <c r="H203" i="64" s="1"/>
  <c r="G202" i="64"/>
  <c r="H202" i="64" s="1"/>
  <c r="F202" i="64"/>
  <c r="I201" i="64"/>
  <c r="H201" i="64"/>
  <c r="K201" i="64" s="1"/>
  <c r="G200" i="64"/>
  <c r="H200" i="64" s="1"/>
  <c r="G199" i="64"/>
  <c r="H199" i="64" s="1"/>
  <c r="I198" i="64"/>
  <c r="H198" i="64"/>
  <c r="K198" i="64" s="1"/>
  <c r="H197" i="64"/>
  <c r="G197" i="64"/>
  <c r="H196" i="64"/>
  <c r="H195" i="64"/>
  <c r="H194" i="64"/>
  <c r="G194" i="64"/>
  <c r="H193" i="64"/>
  <c r="G193" i="64"/>
  <c r="I192" i="64"/>
  <c r="H192" i="64"/>
  <c r="K192" i="64" s="1"/>
  <c r="G191" i="64"/>
  <c r="H191" i="64" s="1"/>
  <c r="G190" i="64"/>
  <c r="H190" i="64" s="1"/>
  <c r="G189" i="64"/>
  <c r="H189" i="64" s="1"/>
  <c r="G188" i="64"/>
  <c r="H188" i="64" s="1"/>
  <c r="I187" i="64"/>
  <c r="H187" i="64"/>
  <c r="H186" i="64"/>
  <c r="G186" i="64"/>
  <c r="H185" i="64"/>
  <c r="I184" i="64"/>
  <c r="H184" i="64"/>
  <c r="K184" i="64" s="1"/>
  <c r="H183" i="64"/>
  <c r="G182" i="64"/>
  <c r="H182" i="64" s="1"/>
  <c r="G181" i="64"/>
  <c r="H181" i="64" s="1"/>
  <c r="G180" i="64"/>
  <c r="H180" i="64" s="1"/>
  <c r="I179" i="64"/>
  <c r="H179" i="64"/>
  <c r="K179" i="64" s="1"/>
  <c r="H178" i="64"/>
  <c r="G178" i="64"/>
  <c r="H177" i="64"/>
  <c r="G177" i="64"/>
  <c r="H176" i="64"/>
  <c r="G176" i="64"/>
  <c r="H175" i="64"/>
  <c r="G175" i="64"/>
  <c r="H174" i="64"/>
  <c r="H226" i="64" s="1"/>
  <c r="D173" i="64"/>
  <c r="H172" i="64"/>
  <c r="G172" i="64"/>
  <c r="H171" i="64"/>
  <c r="I170" i="64"/>
  <c r="H170" i="64"/>
  <c r="K170" i="64" s="1"/>
  <c r="I169" i="64"/>
  <c r="H169" i="64"/>
  <c r="K169" i="64" s="1"/>
  <c r="G168" i="64"/>
  <c r="H168" i="64" s="1"/>
  <c r="G167" i="64"/>
  <c r="H167" i="64" s="1"/>
  <c r="G166" i="64"/>
  <c r="H166" i="64" s="1"/>
  <c r="G165" i="64"/>
  <c r="H165" i="64" s="1"/>
  <c r="I164" i="64"/>
  <c r="H164" i="64"/>
  <c r="I163" i="64"/>
  <c r="H163" i="64"/>
  <c r="K163" i="64" s="1"/>
  <c r="G162" i="64"/>
  <c r="H162" i="64" s="1"/>
  <c r="G161" i="64"/>
  <c r="H161" i="64" s="1"/>
  <c r="G160" i="64"/>
  <c r="H160" i="64" s="1"/>
  <c r="G159" i="64"/>
  <c r="H159" i="64" s="1"/>
  <c r="I158" i="64"/>
  <c r="H158" i="64"/>
  <c r="K158" i="64" s="1"/>
  <c r="H157" i="64"/>
  <c r="G157" i="64"/>
  <c r="H156" i="64"/>
  <c r="G156" i="64"/>
  <c r="H155" i="64"/>
  <c r="G155" i="64"/>
  <c r="H154" i="64"/>
  <c r="G154" i="64"/>
  <c r="H153" i="64"/>
  <c r="H152" i="64"/>
  <c r="H151" i="64"/>
  <c r="G151" i="64"/>
  <c r="H150" i="64"/>
  <c r="G150" i="64"/>
  <c r="I149" i="64"/>
  <c r="H149" i="64"/>
  <c r="K149" i="64" s="1"/>
  <c r="G148" i="64"/>
  <c r="H148" i="64" s="1"/>
  <c r="I147" i="64"/>
  <c r="H147" i="64"/>
  <c r="F146" i="64"/>
  <c r="G146" i="64" s="1"/>
  <c r="H146" i="64" s="1"/>
  <c r="F145" i="64"/>
  <c r="H145" i="64" s="1"/>
  <c r="G144" i="64"/>
  <c r="H144" i="64" s="1"/>
  <c r="H143" i="64"/>
  <c r="H142" i="64"/>
  <c r="G142" i="64"/>
  <c r="H141" i="64"/>
  <c r="G141" i="64"/>
  <c r="H140" i="64"/>
  <c r="I139" i="64"/>
  <c r="H139" i="64"/>
  <c r="K139" i="64" s="1"/>
  <c r="H138" i="64"/>
  <c r="G138" i="64"/>
  <c r="I137" i="64"/>
  <c r="H137" i="64"/>
  <c r="K137" i="64" s="1"/>
  <c r="G136" i="64"/>
  <c r="H136" i="64" s="1"/>
  <c r="H135" i="64"/>
  <c r="G135" i="64"/>
  <c r="H134" i="64"/>
  <c r="G134" i="64"/>
  <c r="H133" i="64"/>
  <c r="G133" i="64"/>
  <c r="K132" i="64"/>
  <c r="I132" i="64"/>
  <c r="H132" i="64"/>
  <c r="G131" i="64"/>
  <c r="H131" i="64" s="1"/>
  <c r="G130" i="64"/>
  <c r="H130" i="64" s="1"/>
  <c r="I129" i="64"/>
  <c r="H129" i="64"/>
  <c r="K129" i="64" s="1"/>
  <c r="H128" i="64"/>
  <c r="G128" i="64"/>
  <c r="K127" i="64"/>
  <c r="I127" i="64"/>
  <c r="H127" i="64"/>
  <c r="I126" i="64"/>
  <c r="H126" i="64"/>
  <c r="K126" i="64" s="1"/>
  <c r="H125" i="64"/>
  <c r="G125" i="64"/>
  <c r="H124" i="64"/>
  <c r="G124" i="64"/>
  <c r="I123" i="64"/>
  <c r="H123" i="64"/>
  <c r="K123" i="64" s="1"/>
  <c r="I122" i="64"/>
  <c r="H122" i="64"/>
  <c r="K122" i="64" s="1"/>
  <c r="H121" i="64"/>
  <c r="G121" i="64"/>
  <c r="H120" i="64"/>
  <c r="G119" i="64"/>
  <c r="H119" i="64" s="1"/>
  <c r="G118" i="64"/>
  <c r="H118" i="64" s="1"/>
  <c r="I117" i="64"/>
  <c r="I173" i="64" s="1"/>
  <c r="H117" i="64"/>
  <c r="K117" i="64" s="1"/>
  <c r="D116" i="64"/>
  <c r="D293" i="64" s="1"/>
  <c r="I115" i="64"/>
  <c r="H115" i="64"/>
  <c r="K115" i="64" s="1"/>
  <c r="I114" i="64"/>
  <c r="H114" i="64"/>
  <c r="K114" i="64" s="1"/>
  <c r="I113" i="64"/>
  <c r="H113" i="64"/>
  <c r="K113" i="64" s="1"/>
  <c r="I112" i="64"/>
  <c r="H112" i="64"/>
  <c r="K112" i="64" s="1"/>
  <c r="I111" i="64"/>
  <c r="H111" i="64"/>
  <c r="K111" i="64" s="1"/>
  <c r="H110" i="64"/>
  <c r="G110" i="64"/>
  <c r="H109" i="64"/>
  <c r="G109" i="64"/>
  <c r="F108" i="64"/>
  <c r="F293" i="64" s="1"/>
  <c r="G293" i="64" s="1"/>
  <c r="E108" i="64"/>
  <c r="E293" i="64" s="1"/>
  <c r="H107" i="64"/>
  <c r="G107" i="64"/>
  <c r="I106" i="64"/>
  <c r="H106" i="64"/>
  <c r="K106" i="64" s="1"/>
  <c r="I105" i="64"/>
  <c r="H105" i="64"/>
  <c r="K105" i="64" s="1"/>
  <c r="H104" i="64"/>
  <c r="G104" i="64"/>
  <c r="H103" i="64"/>
  <c r="G103" i="64"/>
  <c r="H102" i="64"/>
  <c r="G102" i="64"/>
  <c r="H101" i="64"/>
  <c r="G101" i="64"/>
  <c r="H100" i="64"/>
  <c r="G100" i="64"/>
  <c r="I99" i="64"/>
  <c r="H99" i="64"/>
  <c r="K99" i="64" s="1"/>
  <c r="I98" i="64"/>
  <c r="H98" i="64"/>
  <c r="K98" i="64" s="1"/>
  <c r="H97" i="64"/>
  <c r="G97" i="64"/>
  <c r="I96" i="64"/>
  <c r="H96" i="64"/>
  <c r="K96" i="64" s="1"/>
  <c r="H95" i="64"/>
  <c r="H94" i="64"/>
  <c r="G94" i="64"/>
  <c r="I93" i="64"/>
  <c r="H93" i="64"/>
  <c r="K93" i="64" s="1"/>
  <c r="I92" i="64"/>
  <c r="H92" i="64"/>
  <c r="K92" i="64" s="1"/>
  <c r="H91" i="64"/>
  <c r="G91" i="64"/>
  <c r="H90" i="64"/>
  <c r="G90" i="64"/>
  <c r="H89" i="64"/>
  <c r="G89" i="64"/>
  <c r="H88" i="64"/>
  <c r="G87" i="64"/>
  <c r="H87" i="64" s="1"/>
  <c r="I86" i="64"/>
  <c r="H86" i="64"/>
  <c r="K86" i="64" s="1"/>
  <c r="H85" i="64"/>
  <c r="G85" i="64"/>
  <c r="H84" i="64"/>
  <c r="G84" i="64"/>
  <c r="H83" i="64"/>
  <c r="G82" i="64"/>
  <c r="H82" i="64" s="1"/>
  <c r="H81" i="64"/>
  <c r="I80" i="64"/>
  <c r="H80" i="64"/>
  <c r="K80" i="64" s="1"/>
  <c r="G79" i="64"/>
  <c r="H79" i="64" s="1"/>
  <c r="H78" i="64"/>
  <c r="I77" i="64"/>
  <c r="H77" i="64"/>
  <c r="K77" i="64" s="1"/>
  <c r="I76" i="64"/>
  <c r="H76" i="64"/>
  <c r="K76" i="64" s="1"/>
  <c r="I75" i="64"/>
  <c r="H75" i="64"/>
  <c r="K75" i="64" s="1"/>
  <c r="G74" i="64"/>
  <c r="H74" i="64" s="1"/>
  <c r="G73" i="64"/>
  <c r="H73" i="64" s="1"/>
  <c r="I72" i="64"/>
  <c r="H72" i="64"/>
  <c r="K72" i="64" s="1"/>
  <c r="H71" i="64"/>
  <c r="G71" i="64"/>
  <c r="H70" i="64"/>
  <c r="G70" i="64"/>
  <c r="I69" i="64"/>
  <c r="H69" i="64"/>
  <c r="K69" i="64" s="1"/>
  <c r="G68" i="64"/>
  <c r="H68" i="64" s="1"/>
  <c r="G67" i="64"/>
  <c r="H67" i="64" s="1"/>
  <c r="G66" i="64"/>
  <c r="H66" i="64" s="1"/>
  <c r="I65" i="64"/>
  <c r="H65" i="64"/>
  <c r="K65" i="64" s="1"/>
  <c r="H64" i="64"/>
  <c r="G64" i="64"/>
  <c r="H63" i="64"/>
  <c r="G63" i="64"/>
  <c r="I62" i="64"/>
  <c r="H62" i="64"/>
  <c r="K62" i="64" s="1"/>
  <c r="H61" i="64"/>
  <c r="H60" i="64"/>
  <c r="G60" i="64"/>
  <c r="H59" i="64"/>
  <c r="G59" i="64"/>
  <c r="H58" i="64"/>
  <c r="G58" i="64"/>
  <c r="H57" i="64"/>
  <c r="G57" i="64"/>
  <c r="I56" i="64"/>
  <c r="H56" i="64"/>
  <c r="K56" i="64" s="1"/>
  <c r="I55" i="64"/>
  <c r="H55" i="64"/>
  <c r="K55" i="64" s="1"/>
  <c r="I54" i="64"/>
  <c r="H54" i="64"/>
  <c r="K54" i="64" s="1"/>
  <c r="G53" i="64"/>
  <c r="H53" i="64" s="1"/>
  <c r="I52" i="64"/>
  <c r="H52" i="64"/>
  <c r="K52" i="64" s="1"/>
  <c r="H51" i="64"/>
  <c r="G51" i="64"/>
  <c r="I50" i="64"/>
  <c r="H50" i="64"/>
  <c r="K50" i="64" s="1"/>
  <c r="I49" i="64"/>
  <c r="I116" i="64" s="1"/>
  <c r="H49" i="64"/>
  <c r="K49" i="64" s="1"/>
  <c r="H48" i="64"/>
  <c r="H47" i="64"/>
  <c r="H46" i="64"/>
  <c r="G46" i="64"/>
  <c r="I45" i="64"/>
  <c r="H45" i="64"/>
  <c r="K45" i="64" s="1"/>
  <c r="H44" i="64"/>
  <c r="H43" i="64"/>
  <c r="G43" i="64"/>
  <c r="I42" i="64"/>
  <c r="H42" i="64"/>
  <c r="K42" i="64" s="1"/>
  <c r="J36" i="64"/>
  <c r="E34" i="64"/>
  <c r="J33" i="64"/>
  <c r="E33" i="64"/>
  <c r="E32" i="64"/>
  <c r="J27" i="64"/>
  <c r="E27" i="64"/>
  <c r="E26" i="64"/>
  <c r="E25" i="64"/>
  <c r="E20" i="64"/>
  <c r="J19" i="64"/>
  <c r="E19" i="64"/>
  <c r="E18" i="64"/>
  <c r="E13" i="64"/>
  <c r="E12" i="64"/>
  <c r="E11" i="64"/>
  <c r="J12" i="64" l="1"/>
  <c r="H173" i="64"/>
  <c r="J20" i="64" s="1"/>
  <c r="G108" i="64"/>
  <c r="H108" i="64" s="1"/>
  <c r="H116" i="64"/>
  <c r="K147" i="64"/>
  <c r="K164" i="64"/>
  <c r="I226" i="64"/>
  <c r="J26" i="64" s="1"/>
  <c r="K187" i="64"/>
  <c r="J12" i="65"/>
  <c r="H292" i="64"/>
  <c r="J34" i="64" s="1"/>
  <c r="G108" i="65"/>
  <c r="H108" i="65" s="1"/>
  <c r="K108" i="65" s="1"/>
  <c r="I173" i="65"/>
  <c r="J19" i="65" s="1"/>
  <c r="H116" i="65"/>
  <c r="G293" i="65"/>
  <c r="K216" i="65"/>
  <c r="K223" i="65"/>
  <c r="H292" i="65"/>
  <c r="J34" i="65" s="1"/>
  <c r="H226" i="65"/>
  <c r="J27" i="65" s="1"/>
  <c r="J24" i="65" l="1"/>
  <c r="J23" i="65"/>
  <c r="J31" i="65"/>
  <c r="J30" i="65"/>
  <c r="H293" i="65"/>
  <c r="J13" i="65"/>
  <c r="I293" i="65"/>
  <c r="H293" i="64"/>
  <c r="J13" i="64"/>
  <c r="I293" i="64"/>
  <c r="J17" i="65"/>
  <c r="J16" i="65"/>
  <c r="J30" i="64"/>
  <c r="J31" i="64"/>
  <c r="J24" i="64"/>
  <c r="J23" i="64"/>
  <c r="J16" i="64"/>
  <c r="J17" i="64"/>
  <c r="J162" i="64" l="1"/>
  <c r="K162" i="64" s="1"/>
  <c r="J118" i="64"/>
  <c r="J131" i="64"/>
  <c r="K131" i="64" s="1"/>
  <c r="J120" i="64"/>
  <c r="K120" i="64" s="1"/>
  <c r="J124" i="64"/>
  <c r="K124" i="64" s="1"/>
  <c r="J128" i="64"/>
  <c r="K128" i="64" s="1"/>
  <c r="J134" i="64"/>
  <c r="K134" i="64" s="1"/>
  <c r="J136" i="64"/>
  <c r="K136" i="64" s="1"/>
  <c r="J144" i="64"/>
  <c r="K144" i="64" s="1"/>
  <c r="J152" i="64"/>
  <c r="K152" i="64" s="1"/>
  <c r="J160" i="64"/>
  <c r="K160" i="64" s="1"/>
  <c r="J172" i="64"/>
  <c r="K172" i="64" s="1"/>
  <c r="J157" i="64"/>
  <c r="K157" i="64" s="1"/>
  <c r="J155" i="64"/>
  <c r="K155" i="64" s="1"/>
  <c r="J153" i="64"/>
  <c r="K153" i="64" s="1"/>
  <c r="J150" i="64"/>
  <c r="K150" i="64" s="1"/>
  <c r="J142" i="64"/>
  <c r="K142" i="64" s="1"/>
  <c r="J140" i="64"/>
  <c r="K140" i="64" s="1"/>
  <c r="J130" i="64"/>
  <c r="K130" i="64" s="1"/>
  <c r="J166" i="64"/>
  <c r="K166" i="64" s="1"/>
  <c r="J168" i="64"/>
  <c r="K168" i="64" s="1"/>
  <c r="J119" i="64"/>
  <c r="K119" i="64" s="1"/>
  <c r="J121" i="64"/>
  <c r="K121" i="64" s="1"/>
  <c r="J125" i="64"/>
  <c r="K125" i="64" s="1"/>
  <c r="J133" i="64"/>
  <c r="K133" i="64" s="1"/>
  <c r="J135" i="64"/>
  <c r="K135" i="64" s="1"/>
  <c r="J143" i="64"/>
  <c r="K143" i="64" s="1"/>
  <c r="J145" i="64"/>
  <c r="K145" i="64" s="1"/>
  <c r="J159" i="64"/>
  <c r="K159" i="64" s="1"/>
  <c r="J161" i="64"/>
  <c r="K161" i="64" s="1"/>
  <c r="J171" i="64"/>
  <c r="K171" i="64" s="1"/>
  <c r="J156" i="64"/>
  <c r="K156" i="64" s="1"/>
  <c r="J154" i="64"/>
  <c r="K154" i="64" s="1"/>
  <c r="J151" i="64"/>
  <c r="K151" i="64" s="1"/>
  <c r="J146" i="64"/>
  <c r="K146" i="64" s="1"/>
  <c r="J141" i="64"/>
  <c r="K141" i="64" s="1"/>
  <c r="J138" i="64"/>
  <c r="K138" i="64" s="1"/>
  <c r="J148" i="64"/>
  <c r="K148" i="64" s="1"/>
  <c r="J165" i="64"/>
  <c r="K165" i="64" s="1"/>
  <c r="J167" i="64"/>
  <c r="K167" i="64" s="1"/>
  <c r="J290" i="64"/>
  <c r="K290" i="64" s="1"/>
  <c r="J286" i="64"/>
  <c r="K286" i="64" s="1"/>
  <c r="J284" i="64"/>
  <c r="K284" i="64" s="1"/>
  <c r="J275" i="64"/>
  <c r="K275" i="64" s="1"/>
  <c r="J256" i="64"/>
  <c r="K256" i="64" s="1"/>
  <c r="J254" i="64"/>
  <c r="K254" i="64" s="1"/>
  <c r="J272" i="64"/>
  <c r="K272" i="64" s="1"/>
  <c r="J258" i="64"/>
  <c r="K258" i="64" s="1"/>
  <c r="J248" i="64"/>
  <c r="K248" i="64" s="1"/>
  <c r="J229" i="64"/>
  <c r="K229" i="64" s="1"/>
  <c r="J227" i="64"/>
  <c r="J273" i="64"/>
  <c r="K273" i="64" s="1"/>
  <c r="J263" i="64"/>
  <c r="K263" i="64" s="1"/>
  <c r="J251" i="64"/>
  <c r="K251" i="64" s="1"/>
  <c r="J247" i="64"/>
  <c r="K247" i="64" s="1"/>
  <c r="J238" i="64"/>
  <c r="K238" i="64" s="1"/>
  <c r="J287" i="64"/>
  <c r="K287" i="64" s="1"/>
  <c r="J285" i="64"/>
  <c r="K285" i="64" s="1"/>
  <c r="J280" i="64"/>
  <c r="K280" i="64" s="1"/>
  <c r="J261" i="64"/>
  <c r="K261" i="64" s="1"/>
  <c r="J255" i="64"/>
  <c r="K255" i="64" s="1"/>
  <c r="J253" i="64"/>
  <c r="K253" i="64" s="1"/>
  <c r="J270" i="64"/>
  <c r="K270" i="64" s="1"/>
  <c r="J250" i="64"/>
  <c r="K250" i="64" s="1"/>
  <c r="J230" i="64"/>
  <c r="K230" i="64" s="1"/>
  <c r="J228" i="64"/>
  <c r="K228" i="64" s="1"/>
  <c r="J278" i="64"/>
  <c r="K278" i="64" s="1"/>
  <c r="J269" i="64"/>
  <c r="K269" i="64" s="1"/>
  <c r="J259" i="64"/>
  <c r="K259" i="64" s="1"/>
  <c r="J249" i="64"/>
  <c r="K249" i="64" s="1"/>
  <c r="J243" i="64"/>
  <c r="K243" i="64" s="1"/>
  <c r="J232" i="64"/>
  <c r="K232" i="64" s="1"/>
  <c r="J222" i="64"/>
  <c r="K222" i="64" s="1"/>
  <c r="J209" i="64"/>
  <c r="K209" i="64" s="1"/>
  <c r="J207" i="64"/>
  <c r="K207" i="64" s="1"/>
  <c r="J202" i="64"/>
  <c r="K202" i="64" s="1"/>
  <c r="J199" i="64"/>
  <c r="K199" i="64" s="1"/>
  <c r="J191" i="64"/>
  <c r="K191" i="64" s="1"/>
  <c r="J189" i="64"/>
  <c r="K189" i="64" s="1"/>
  <c r="J219" i="64"/>
  <c r="K219" i="64" s="1"/>
  <c r="J217" i="64"/>
  <c r="K217" i="64" s="1"/>
  <c r="J213" i="64"/>
  <c r="K213" i="64" s="1"/>
  <c r="J204" i="64"/>
  <c r="K204" i="64" s="1"/>
  <c r="J197" i="64"/>
  <c r="K197" i="64" s="1"/>
  <c r="J194" i="64"/>
  <c r="K194" i="64" s="1"/>
  <c r="J186" i="64"/>
  <c r="K186" i="64" s="1"/>
  <c r="J183" i="64"/>
  <c r="K183" i="64" s="1"/>
  <c r="J177" i="64"/>
  <c r="K177" i="64" s="1"/>
  <c r="J175" i="64"/>
  <c r="K175" i="64" s="1"/>
  <c r="J181" i="64"/>
  <c r="K181" i="64" s="1"/>
  <c r="J188" i="64"/>
  <c r="K188" i="64" s="1"/>
  <c r="J215" i="64"/>
  <c r="K215" i="64" s="1"/>
  <c r="J208" i="64"/>
  <c r="K208" i="64" s="1"/>
  <c r="J206" i="64"/>
  <c r="K206" i="64" s="1"/>
  <c r="J200" i="64"/>
  <c r="K200" i="64" s="1"/>
  <c r="J195" i="64"/>
  <c r="K195" i="64" s="1"/>
  <c r="J190" i="64"/>
  <c r="K190" i="64" s="1"/>
  <c r="J220" i="64"/>
  <c r="K220" i="64" s="1"/>
  <c r="J218" i="64"/>
  <c r="K218" i="64" s="1"/>
  <c r="J214" i="64"/>
  <c r="K214" i="64" s="1"/>
  <c r="J212" i="64"/>
  <c r="K212" i="64" s="1"/>
  <c r="J203" i="64"/>
  <c r="K203" i="64" s="1"/>
  <c r="J196" i="64"/>
  <c r="K196" i="64" s="1"/>
  <c r="J193" i="64"/>
  <c r="K193" i="64" s="1"/>
  <c r="J185" i="64"/>
  <c r="K185" i="64" s="1"/>
  <c r="J178" i="64"/>
  <c r="K178" i="64" s="1"/>
  <c r="J176" i="64"/>
  <c r="K176" i="64" s="1"/>
  <c r="J174" i="64"/>
  <c r="J180" i="64"/>
  <c r="K180" i="64" s="1"/>
  <c r="J182" i="64"/>
  <c r="K182" i="64" s="1"/>
  <c r="J126" i="65"/>
  <c r="K126" i="65" s="1"/>
  <c r="J122" i="65"/>
  <c r="K122" i="65" s="1"/>
  <c r="J164" i="65"/>
  <c r="K164" i="65" s="1"/>
  <c r="J149" i="65"/>
  <c r="K149" i="65" s="1"/>
  <c r="J117" i="65"/>
  <c r="J169" i="65"/>
  <c r="K169" i="65" s="1"/>
  <c r="J163" i="65"/>
  <c r="K163" i="65" s="1"/>
  <c r="J139" i="65"/>
  <c r="K139" i="65" s="1"/>
  <c r="J137" i="65"/>
  <c r="K137" i="65" s="1"/>
  <c r="J129" i="65"/>
  <c r="K129" i="65" s="1"/>
  <c r="J127" i="65"/>
  <c r="K127" i="65" s="1"/>
  <c r="J170" i="65"/>
  <c r="K170" i="65" s="1"/>
  <c r="J147" i="65"/>
  <c r="K147" i="65" s="1"/>
  <c r="J132" i="65"/>
  <c r="K132" i="65" s="1"/>
  <c r="J10" i="65"/>
  <c r="J9" i="65"/>
  <c r="J10" i="64"/>
  <c r="J9" i="64"/>
  <c r="J285" i="65"/>
  <c r="K285" i="65" s="1"/>
  <c r="J269" i="65"/>
  <c r="K269" i="65" s="1"/>
  <c r="J249" i="65"/>
  <c r="K249" i="65" s="1"/>
  <c r="J228" i="65"/>
  <c r="K228" i="65" s="1"/>
  <c r="J232" i="65"/>
  <c r="K232" i="65" s="1"/>
  <c r="J290" i="65"/>
  <c r="K290" i="65" s="1"/>
  <c r="J286" i="65"/>
  <c r="K286" i="65" s="1"/>
  <c r="J284" i="65"/>
  <c r="K284" i="65" s="1"/>
  <c r="J275" i="65"/>
  <c r="K275" i="65" s="1"/>
  <c r="J273" i="65"/>
  <c r="K273" i="65" s="1"/>
  <c r="J270" i="65"/>
  <c r="K270" i="65" s="1"/>
  <c r="J263" i="65"/>
  <c r="K263" i="65" s="1"/>
  <c r="J258" i="65"/>
  <c r="K258" i="65" s="1"/>
  <c r="J250" i="65"/>
  <c r="K250" i="65" s="1"/>
  <c r="J248" i="65"/>
  <c r="K248" i="65" s="1"/>
  <c r="J243" i="65"/>
  <c r="K243" i="65" s="1"/>
  <c r="J229" i="65"/>
  <c r="K229" i="65" s="1"/>
  <c r="J227" i="65"/>
  <c r="J254" i="65"/>
  <c r="K254" i="65" s="1"/>
  <c r="J255" i="65"/>
  <c r="K255" i="65" s="1"/>
  <c r="J238" i="65"/>
  <c r="K238" i="65" s="1"/>
  <c r="J287" i="65"/>
  <c r="K287" i="65" s="1"/>
  <c r="J280" i="65"/>
  <c r="K280" i="65" s="1"/>
  <c r="J278" i="65"/>
  <c r="K278" i="65" s="1"/>
  <c r="J272" i="65"/>
  <c r="K272" i="65" s="1"/>
  <c r="J259" i="65"/>
  <c r="K259" i="65" s="1"/>
  <c r="J251" i="65"/>
  <c r="K251" i="65" s="1"/>
  <c r="J247" i="65"/>
  <c r="K247" i="65" s="1"/>
  <c r="J230" i="65"/>
  <c r="K230" i="65" s="1"/>
  <c r="J256" i="65"/>
  <c r="K256" i="65" s="1"/>
  <c r="J261" i="65"/>
  <c r="K261" i="65" s="1"/>
  <c r="J253" i="65"/>
  <c r="K253" i="65" s="1"/>
  <c r="J219" i="65"/>
  <c r="K219" i="65" s="1"/>
  <c r="J209" i="65"/>
  <c r="K209" i="65" s="1"/>
  <c r="J202" i="65"/>
  <c r="K202" i="65" s="1"/>
  <c r="J189" i="65"/>
  <c r="K189" i="65" s="1"/>
  <c r="J203" i="65"/>
  <c r="K203" i="65" s="1"/>
  <c r="J193" i="65"/>
  <c r="K193" i="65" s="1"/>
  <c r="J176" i="65"/>
  <c r="K176" i="65" s="1"/>
  <c r="J222" i="65"/>
  <c r="K222" i="65" s="1"/>
  <c r="J220" i="65"/>
  <c r="K220" i="65" s="1"/>
  <c r="J218" i="65"/>
  <c r="K218" i="65" s="1"/>
  <c r="J214" i="65"/>
  <c r="K214" i="65" s="1"/>
  <c r="J212" i="65"/>
  <c r="K212" i="65" s="1"/>
  <c r="J208" i="65"/>
  <c r="K208" i="65" s="1"/>
  <c r="J206" i="65"/>
  <c r="K206" i="65" s="1"/>
  <c r="J200" i="65"/>
  <c r="K200" i="65" s="1"/>
  <c r="J195" i="65"/>
  <c r="K195" i="65" s="1"/>
  <c r="J190" i="65"/>
  <c r="K190" i="65" s="1"/>
  <c r="J188" i="65"/>
  <c r="K188" i="65" s="1"/>
  <c r="J181" i="65"/>
  <c r="K181" i="65" s="1"/>
  <c r="J204" i="65"/>
  <c r="K204" i="65" s="1"/>
  <c r="J197" i="65"/>
  <c r="K197" i="65" s="1"/>
  <c r="J194" i="65"/>
  <c r="K194" i="65" s="1"/>
  <c r="J186" i="65"/>
  <c r="K186" i="65" s="1"/>
  <c r="J183" i="65"/>
  <c r="K183" i="65" s="1"/>
  <c r="J177" i="65"/>
  <c r="K177" i="65" s="1"/>
  <c r="J175" i="65"/>
  <c r="K175" i="65" s="1"/>
  <c r="J215" i="65"/>
  <c r="K215" i="65" s="1"/>
  <c r="J217" i="65"/>
  <c r="K217" i="65" s="1"/>
  <c r="J213" i="65"/>
  <c r="K213" i="65" s="1"/>
  <c r="J207" i="65"/>
  <c r="K207" i="65" s="1"/>
  <c r="J199" i="65"/>
  <c r="K199" i="65" s="1"/>
  <c r="J191" i="65"/>
  <c r="K191" i="65" s="1"/>
  <c r="J182" i="65"/>
  <c r="K182" i="65" s="1"/>
  <c r="J180" i="65"/>
  <c r="K180" i="65" s="1"/>
  <c r="J196" i="65"/>
  <c r="K196" i="65" s="1"/>
  <c r="J185" i="65"/>
  <c r="K185" i="65" s="1"/>
  <c r="J178" i="65"/>
  <c r="K178" i="65" s="1"/>
  <c r="J174" i="65"/>
  <c r="J226" i="65" l="1"/>
  <c r="K174" i="65"/>
  <c r="K226" i="65" s="1"/>
  <c r="J38" i="64"/>
  <c r="J38" i="65"/>
  <c r="J292" i="65"/>
  <c r="K227" i="65"/>
  <c r="K292" i="65" s="1"/>
  <c r="J39" i="64"/>
  <c r="J95" i="64"/>
  <c r="K95" i="64" s="1"/>
  <c r="J44" i="64"/>
  <c r="K44" i="64" s="1"/>
  <c r="J66" i="64"/>
  <c r="K66" i="64" s="1"/>
  <c r="J81" i="64"/>
  <c r="K81" i="64" s="1"/>
  <c r="J43" i="64"/>
  <c r="J48" i="64"/>
  <c r="K48" i="64" s="1"/>
  <c r="J57" i="64"/>
  <c r="K57" i="64" s="1"/>
  <c r="J59" i="64"/>
  <c r="K59" i="64" s="1"/>
  <c r="J63" i="64"/>
  <c r="K63" i="64" s="1"/>
  <c r="J70" i="64"/>
  <c r="K70" i="64" s="1"/>
  <c r="J83" i="64"/>
  <c r="K83" i="64" s="1"/>
  <c r="J85" i="64"/>
  <c r="K85" i="64" s="1"/>
  <c r="J89" i="64"/>
  <c r="K89" i="64" s="1"/>
  <c r="J91" i="64"/>
  <c r="K91" i="64" s="1"/>
  <c r="J97" i="64"/>
  <c r="K97" i="64" s="1"/>
  <c r="J101" i="64"/>
  <c r="K101" i="64" s="1"/>
  <c r="J103" i="64"/>
  <c r="K103" i="64" s="1"/>
  <c r="J107" i="64"/>
  <c r="K107" i="64" s="1"/>
  <c r="J108" i="64"/>
  <c r="K108" i="64" s="1"/>
  <c r="J110" i="64"/>
  <c r="K110" i="64" s="1"/>
  <c r="J53" i="64"/>
  <c r="K53" i="64" s="1"/>
  <c r="J67" i="64"/>
  <c r="K67" i="64" s="1"/>
  <c r="J73" i="64"/>
  <c r="K73" i="64" s="1"/>
  <c r="J79" i="64"/>
  <c r="K79" i="64" s="1"/>
  <c r="J47" i="64"/>
  <c r="K47" i="64" s="1"/>
  <c r="J78" i="64"/>
  <c r="K78" i="64" s="1"/>
  <c r="J82" i="64"/>
  <c r="K82" i="64" s="1"/>
  <c r="J46" i="64"/>
  <c r="K46" i="64" s="1"/>
  <c r="J51" i="64"/>
  <c r="K51" i="64" s="1"/>
  <c r="J58" i="64"/>
  <c r="K58" i="64" s="1"/>
  <c r="J60" i="64"/>
  <c r="K60" i="64" s="1"/>
  <c r="J64" i="64"/>
  <c r="K64" i="64" s="1"/>
  <c r="J71" i="64"/>
  <c r="K71" i="64" s="1"/>
  <c r="J84" i="64"/>
  <c r="K84" i="64" s="1"/>
  <c r="J88" i="64"/>
  <c r="K88" i="64" s="1"/>
  <c r="J90" i="64"/>
  <c r="K90" i="64" s="1"/>
  <c r="J94" i="64"/>
  <c r="K94" i="64" s="1"/>
  <c r="J100" i="64"/>
  <c r="K100" i="64" s="1"/>
  <c r="J102" i="64"/>
  <c r="K102" i="64" s="1"/>
  <c r="J104" i="64"/>
  <c r="K104" i="64" s="1"/>
  <c r="J109" i="64"/>
  <c r="K109" i="64" s="1"/>
  <c r="J61" i="64"/>
  <c r="K61" i="64" s="1"/>
  <c r="J68" i="64"/>
  <c r="K68" i="64" s="1"/>
  <c r="J74" i="64"/>
  <c r="K74" i="64" s="1"/>
  <c r="J87" i="64"/>
  <c r="K87" i="64" s="1"/>
  <c r="J39" i="65"/>
  <c r="J115" i="65"/>
  <c r="K115" i="65" s="1"/>
  <c r="J45" i="65"/>
  <c r="K45" i="65" s="1"/>
  <c r="J72" i="65"/>
  <c r="K72" i="65" s="1"/>
  <c r="J76" i="65"/>
  <c r="K76" i="65" s="1"/>
  <c r="J86" i="65"/>
  <c r="K86" i="65" s="1"/>
  <c r="J93" i="65"/>
  <c r="K93" i="65" s="1"/>
  <c r="J99" i="65"/>
  <c r="K99" i="65" s="1"/>
  <c r="J50" i="65"/>
  <c r="K50" i="65" s="1"/>
  <c r="J62" i="65"/>
  <c r="K62" i="65" s="1"/>
  <c r="J52" i="65"/>
  <c r="K52" i="65" s="1"/>
  <c r="J69" i="65"/>
  <c r="K69" i="65" s="1"/>
  <c r="J75" i="65"/>
  <c r="K75" i="65" s="1"/>
  <c r="J77" i="65"/>
  <c r="K77" i="65" s="1"/>
  <c r="J92" i="65"/>
  <c r="K92" i="65" s="1"/>
  <c r="J98" i="65"/>
  <c r="K98" i="65" s="1"/>
  <c r="J112" i="65"/>
  <c r="K112" i="65" s="1"/>
  <c r="J114" i="65"/>
  <c r="K114" i="65" s="1"/>
  <c r="J49" i="65"/>
  <c r="K49" i="65" s="1"/>
  <c r="J54" i="65"/>
  <c r="K54" i="65" s="1"/>
  <c r="J56" i="65"/>
  <c r="K56" i="65" s="1"/>
  <c r="J65" i="65"/>
  <c r="K65" i="65" s="1"/>
  <c r="J96" i="65"/>
  <c r="K96" i="65" s="1"/>
  <c r="J106" i="65"/>
  <c r="K106" i="65" s="1"/>
  <c r="J42" i="65"/>
  <c r="J55" i="65"/>
  <c r="K55" i="65" s="1"/>
  <c r="J80" i="65"/>
  <c r="K80" i="65" s="1"/>
  <c r="J105" i="65"/>
  <c r="K105" i="65" s="1"/>
  <c r="J113" i="65"/>
  <c r="K113" i="65" s="1"/>
  <c r="J173" i="65"/>
  <c r="K117" i="65"/>
  <c r="K173" i="65" s="1"/>
  <c r="J226" i="64"/>
  <c r="K174" i="64"/>
  <c r="K226" i="64" s="1"/>
  <c r="J292" i="64"/>
  <c r="K227" i="64"/>
  <c r="K292" i="64" s="1"/>
  <c r="J173" i="64"/>
  <c r="K118" i="64"/>
  <c r="K173" i="64" s="1"/>
  <c r="J116" i="65" l="1"/>
  <c r="J293" i="65" s="1"/>
  <c r="K42" i="65"/>
  <c r="K116" i="65" s="1"/>
  <c r="J116" i="64"/>
  <c r="J293" i="64" s="1"/>
  <c r="K43" i="64"/>
  <c r="K116" i="64" s="1"/>
  <c r="K293" i="64" l="1"/>
  <c r="K293" i="65"/>
  <c r="F313" i="63" l="1"/>
  <c r="E313" i="63"/>
  <c r="D313" i="63"/>
  <c r="G312" i="63"/>
  <c r="G311" i="63"/>
  <c r="G310" i="63"/>
  <c r="G309" i="63"/>
  <c r="G308" i="63"/>
  <c r="G307" i="63"/>
  <c r="G306" i="63"/>
  <c r="G305" i="63"/>
  <c r="G304" i="63"/>
  <c r="G303" i="63"/>
  <c r="G302" i="63"/>
  <c r="G301" i="63"/>
  <c r="G300" i="63"/>
  <c r="G299" i="63"/>
  <c r="G298" i="63"/>
  <c r="G313" i="63" s="1"/>
  <c r="D292" i="63"/>
  <c r="G291" i="63"/>
  <c r="H291" i="63" s="1"/>
  <c r="K291" i="63" s="1"/>
  <c r="I290" i="63"/>
  <c r="H290" i="63"/>
  <c r="H289" i="63"/>
  <c r="K289" i="63" s="1"/>
  <c r="G289" i="63"/>
  <c r="G288" i="63"/>
  <c r="H288" i="63" s="1"/>
  <c r="K288" i="63" s="1"/>
  <c r="I287" i="63"/>
  <c r="H287" i="63"/>
  <c r="I286" i="63"/>
  <c r="H286" i="63"/>
  <c r="I285" i="63"/>
  <c r="H285" i="63"/>
  <c r="I284" i="63"/>
  <c r="H284" i="63"/>
  <c r="H283" i="63"/>
  <c r="K283" i="63" s="1"/>
  <c r="G283" i="63"/>
  <c r="K282" i="63"/>
  <c r="H282" i="63"/>
  <c r="G281" i="63"/>
  <c r="H281" i="63" s="1"/>
  <c r="K281" i="63" s="1"/>
  <c r="I280" i="63"/>
  <c r="H280" i="63"/>
  <c r="H279" i="63"/>
  <c r="K279" i="63" s="1"/>
  <c r="G279" i="63"/>
  <c r="I278" i="63"/>
  <c r="H278" i="63"/>
  <c r="G277" i="63"/>
  <c r="H277" i="63" s="1"/>
  <c r="K277" i="63" s="1"/>
  <c r="H276" i="63"/>
  <c r="K276" i="63" s="1"/>
  <c r="I275" i="63"/>
  <c r="H275" i="63"/>
  <c r="H274" i="63"/>
  <c r="K274" i="63" s="1"/>
  <c r="G274" i="63"/>
  <c r="I273" i="63"/>
  <c r="H273" i="63"/>
  <c r="I272" i="63"/>
  <c r="H272" i="63"/>
  <c r="K271" i="63"/>
  <c r="H271" i="63"/>
  <c r="I270" i="63"/>
  <c r="H270" i="63"/>
  <c r="I269" i="63"/>
  <c r="H269" i="63"/>
  <c r="H268" i="63"/>
  <c r="K268" i="63" s="1"/>
  <c r="G268" i="63"/>
  <c r="G267" i="63"/>
  <c r="H267" i="63" s="1"/>
  <c r="K267" i="63" s="1"/>
  <c r="H266" i="63"/>
  <c r="K266" i="63" s="1"/>
  <c r="G266" i="63"/>
  <c r="G265" i="63"/>
  <c r="H265" i="63" s="1"/>
  <c r="K265" i="63" s="1"/>
  <c r="H264" i="63"/>
  <c r="K264" i="63" s="1"/>
  <c r="I263" i="63"/>
  <c r="H263" i="63"/>
  <c r="H262" i="63"/>
  <c r="K262" i="63" s="1"/>
  <c r="G262" i="63"/>
  <c r="I261" i="63"/>
  <c r="H261" i="63"/>
  <c r="K260" i="63"/>
  <c r="G260" i="63"/>
  <c r="H260" i="63" s="1"/>
  <c r="I259" i="63"/>
  <c r="H259" i="63"/>
  <c r="I258" i="63"/>
  <c r="H258" i="63"/>
  <c r="H257" i="63"/>
  <c r="K257" i="63" s="1"/>
  <c r="G257" i="63"/>
  <c r="I256" i="63"/>
  <c r="H256" i="63"/>
  <c r="I255" i="63"/>
  <c r="H255" i="63"/>
  <c r="I254" i="63"/>
  <c r="H254" i="63"/>
  <c r="I253" i="63"/>
  <c r="H253" i="63"/>
  <c r="K252" i="63"/>
  <c r="G252" i="63"/>
  <c r="H252" i="63" s="1"/>
  <c r="I251" i="63"/>
  <c r="H251" i="63"/>
  <c r="I250" i="63"/>
  <c r="H250" i="63"/>
  <c r="I249" i="63"/>
  <c r="H249" i="63"/>
  <c r="I248" i="63"/>
  <c r="H248" i="63"/>
  <c r="I247" i="63"/>
  <c r="H247" i="63"/>
  <c r="H246" i="63"/>
  <c r="K246" i="63" s="1"/>
  <c r="H245" i="63"/>
  <c r="K245" i="63" s="1"/>
  <c r="G245" i="63"/>
  <c r="K244" i="63"/>
  <c r="G244" i="63"/>
  <c r="H244" i="63" s="1"/>
  <c r="I243" i="63"/>
  <c r="H243" i="63"/>
  <c r="H242" i="63"/>
  <c r="K242" i="63" s="1"/>
  <c r="G242" i="63"/>
  <c r="K241" i="63"/>
  <c r="H241" i="63"/>
  <c r="K240" i="63"/>
  <c r="H240" i="63"/>
  <c r="K239" i="63"/>
  <c r="H239" i="63"/>
  <c r="I238" i="63"/>
  <c r="H238" i="63"/>
  <c r="K237" i="63"/>
  <c r="G237" i="63"/>
  <c r="H237" i="63" s="1"/>
  <c r="H236" i="63"/>
  <c r="K236" i="63" s="1"/>
  <c r="H235" i="63"/>
  <c r="K235" i="63" s="1"/>
  <c r="H234" i="63"/>
  <c r="K234" i="63" s="1"/>
  <c r="G234" i="63"/>
  <c r="K233" i="63"/>
  <c r="H233" i="63"/>
  <c r="I232" i="63"/>
  <c r="H232" i="63"/>
  <c r="G231" i="63"/>
  <c r="H231" i="63" s="1"/>
  <c r="K231" i="63" s="1"/>
  <c r="I230" i="63"/>
  <c r="H230" i="63"/>
  <c r="I229" i="63"/>
  <c r="H229" i="63"/>
  <c r="I228" i="63"/>
  <c r="H228" i="63"/>
  <c r="I227" i="63"/>
  <c r="H227" i="63"/>
  <c r="D226" i="63"/>
  <c r="I225" i="63"/>
  <c r="H225" i="63"/>
  <c r="K225" i="63" s="1"/>
  <c r="I224" i="63"/>
  <c r="H224" i="63"/>
  <c r="K224" i="63" s="1"/>
  <c r="I223" i="63"/>
  <c r="H223" i="63"/>
  <c r="K223" i="63" s="1"/>
  <c r="G222" i="63"/>
  <c r="H222" i="63" s="1"/>
  <c r="I221" i="63"/>
  <c r="H221" i="63"/>
  <c r="H220" i="63"/>
  <c r="G220" i="63"/>
  <c r="H219" i="63"/>
  <c r="E219" i="63"/>
  <c r="G219" i="63" s="1"/>
  <c r="G218" i="63"/>
  <c r="H218" i="63" s="1"/>
  <c r="E218" i="63"/>
  <c r="H217" i="63"/>
  <c r="G217" i="63"/>
  <c r="I216" i="63"/>
  <c r="H216" i="63"/>
  <c r="K216" i="63" s="1"/>
  <c r="H215" i="63"/>
  <c r="H214" i="63"/>
  <c r="G214" i="63"/>
  <c r="H213" i="63"/>
  <c r="G213" i="63"/>
  <c r="H212" i="63"/>
  <c r="I211" i="63"/>
  <c r="H211" i="63"/>
  <c r="K211" i="63" s="1"/>
  <c r="I210" i="63"/>
  <c r="H210" i="63"/>
  <c r="K210" i="63" s="1"/>
  <c r="G209" i="63"/>
  <c r="H209" i="63" s="1"/>
  <c r="G208" i="63"/>
  <c r="H208" i="63" s="1"/>
  <c r="G207" i="63"/>
  <c r="H207" i="63" s="1"/>
  <c r="G206" i="63"/>
  <c r="H206" i="63" s="1"/>
  <c r="I205" i="63"/>
  <c r="H205" i="63"/>
  <c r="H204" i="63"/>
  <c r="G204" i="63"/>
  <c r="H203" i="63"/>
  <c r="G203" i="63"/>
  <c r="H202" i="63"/>
  <c r="G202" i="63"/>
  <c r="I201" i="63"/>
  <c r="H201" i="63"/>
  <c r="K201" i="63" s="1"/>
  <c r="G200" i="63"/>
  <c r="H200" i="63" s="1"/>
  <c r="G199" i="63"/>
  <c r="H199" i="63" s="1"/>
  <c r="I198" i="63"/>
  <c r="H198" i="63"/>
  <c r="H197" i="63"/>
  <c r="G197" i="63"/>
  <c r="H196" i="63"/>
  <c r="H195" i="63"/>
  <c r="H194" i="63"/>
  <c r="G194" i="63"/>
  <c r="H193" i="63"/>
  <c r="G193" i="63"/>
  <c r="I192" i="63"/>
  <c r="H192" i="63"/>
  <c r="K192" i="63" s="1"/>
  <c r="G191" i="63"/>
  <c r="H191" i="63" s="1"/>
  <c r="G190" i="63"/>
  <c r="H190" i="63" s="1"/>
  <c r="G189" i="63"/>
  <c r="H189" i="63" s="1"/>
  <c r="G188" i="63"/>
  <c r="H188" i="63" s="1"/>
  <c r="I187" i="63"/>
  <c r="H187" i="63"/>
  <c r="H186" i="63"/>
  <c r="G186" i="63"/>
  <c r="H185" i="63"/>
  <c r="I184" i="63"/>
  <c r="H184" i="63"/>
  <c r="K184" i="63" s="1"/>
  <c r="H183" i="63"/>
  <c r="G182" i="63"/>
  <c r="H182" i="63" s="1"/>
  <c r="G181" i="63"/>
  <c r="H181" i="63" s="1"/>
  <c r="G180" i="63"/>
  <c r="H180" i="63" s="1"/>
  <c r="I179" i="63"/>
  <c r="H179" i="63"/>
  <c r="K179" i="63" s="1"/>
  <c r="H178" i="63"/>
  <c r="G178" i="63"/>
  <c r="H177" i="63"/>
  <c r="G177" i="63"/>
  <c r="H176" i="63"/>
  <c r="G176" i="63"/>
  <c r="H175" i="63"/>
  <c r="G175" i="63"/>
  <c r="H174" i="63"/>
  <c r="H226" i="63" s="1"/>
  <c r="J27" i="63" s="1"/>
  <c r="D173" i="63"/>
  <c r="H172" i="63"/>
  <c r="G172" i="63"/>
  <c r="H171" i="63"/>
  <c r="I170" i="63"/>
  <c r="H170" i="63"/>
  <c r="K170" i="63" s="1"/>
  <c r="I169" i="63"/>
  <c r="H169" i="63"/>
  <c r="K169" i="63" s="1"/>
  <c r="G168" i="63"/>
  <c r="H168" i="63" s="1"/>
  <c r="G167" i="63"/>
  <c r="H167" i="63" s="1"/>
  <c r="G166" i="63"/>
  <c r="H166" i="63" s="1"/>
  <c r="G165" i="63"/>
  <c r="H165" i="63" s="1"/>
  <c r="I164" i="63"/>
  <c r="H164" i="63"/>
  <c r="I163" i="63"/>
  <c r="H163" i="63"/>
  <c r="K163" i="63" s="1"/>
  <c r="G162" i="63"/>
  <c r="H162" i="63" s="1"/>
  <c r="G161" i="63"/>
  <c r="H161" i="63" s="1"/>
  <c r="G160" i="63"/>
  <c r="H160" i="63" s="1"/>
  <c r="G159" i="63"/>
  <c r="H159" i="63" s="1"/>
  <c r="I158" i="63"/>
  <c r="H158" i="63"/>
  <c r="K158" i="63" s="1"/>
  <c r="H157" i="63"/>
  <c r="G157" i="63"/>
  <c r="H156" i="63"/>
  <c r="G156" i="63"/>
  <c r="H155" i="63"/>
  <c r="G155" i="63"/>
  <c r="H154" i="63"/>
  <c r="G154" i="63"/>
  <c r="H153" i="63"/>
  <c r="E152" i="63"/>
  <c r="H152" i="63" s="1"/>
  <c r="G151" i="63"/>
  <c r="H151" i="63" s="1"/>
  <c r="G150" i="63"/>
  <c r="H150" i="63" s="1"/>
  <c r="I149" i="63"/>
  <c r="H149" i="63"/>
  <c r="K149" i="63" s="1"/>
  <c r="H148" i="63"/>
  <c r="G148" i="63"/>
  <c r="I147" i="63"/>
  <c r="H147" i="63"/>
  <c r="K147" i="63" s="1"/>
  <c r="G146" i="63"/>
  <c r="H146" i="63" s="1"/>
  <c r="E145" i="63"/>
  <c r="H145" i="63" s="1"/>
  <c r="G144" i="63"/>
  <c r="H144" i="63" s="1"/>
  <c r="H143" i="63"/>
  <c r="H142" i="63"/>
  <c r="G142" i="63"/>
  <c r="H141" i="63"/>
  <c r="G141" i="63"/>
  <c r="H140" i="63"/>
  <c r="I139" i="63"/>
  <c r="H139" i="63"/>
  <c r="K139" i="63" s="1"/>
  <c r="H138" i="63"/>
  <c r="G138" i="63"/>
  <c r="I137" i="63"/>
  <c r="H137" i="63"/>
  <c r="K137" i="63" s="1"/>
  <c r="G136" i="63"/>
  <c r="H136" i="63" s="1"/>
  <c r="E136" i="63"/>
  <c r="H135" i="63"/>
  <c r="G135" i="63"/>
  <c r="H134" i="63"/>
  <c r="G134" i="63"/>
  <c r="H133" i="63"/>
  <c r="G133" i="63"/>
  <c r="I132" i="63"/>
  <c r="H132" i="63"/>
  <c r="K132" i="63" s="1"/>
  <c r="G131" i="63"/>
  <c r="H131" i="63" s="1"/>
  <c r="G130" i="63"/>
  <c r="H130" i="63" s="1"/>
  <c r="I129" i="63"/>
  <c r="H129" i="63"/>
  <c r="H128" i="63"/>
  <c r="G128" i="63"/>
  <c r="I127" i="63"/>
  <c r="H127" i="63"/>
  <c r="K127" i="63" s="1"/>
  <c r="I126" i="63"/>
  <c r="H126" i="63"/>
  <c r="H125" i="63"/>
  <c r="G125" i="63"/>
  <c r="H124" i="63"/>
  <c r="G124" i="63"/>
  <c r="I123" i="63"/>
  <c r="H123" i="63"/>
  <c r="K123" i="63" s="1"/>
  <c r="I122" i="63"/>
  <c r="H122" i="63"/>
  <c r="K122" i="63" s="1"/>
  <c r="H121" i="63"/>
  <c r="G121" i="63"/>
  <c r="H120" i="63"/>
  <c r="G119" i="63"/>
  <c r="H119" i="63" s="1"/>
  <c r="G118" i="63"/>
  <c r="H118" i="63" s="1"/>
  <c r="I117" i="63"/>
  <c r="I173" i="63" s="1"/>
  <c r="H117" i="63"/>
  <c r="D116" i="63"/>
  <c r="D293" i="63" s="1"/>
  <c r="I115" i="63"/>
  <c r="H115" i="63"/>
  <c r="I114" i="63"/>
  <c r="H114" i="63"/>
  <c r="I113" i="63"/>
  <c r="H113" i="63"/>
  <c r="I112" i="63"/>
  <c r="H112" i="63"/>
  <c r="I111" i="63"/>
  <c r="H111" i="63"/>
  <c r="H110" i="63"/>
  <c r="K110" i="63" s="1"/>
  <c r="G110" i="63"/>
  <c r="K109" i="63"/>
  <c r="G109" i="63"/>
  <c r="H109" i="63" s="1"/>
  <c r="F108" i="63"/>
  <c r="E108" i="63"/>
  <c r="G107" i="63"/>
  <c r="H107" i="63" s="1"/>
  <c r="K107" i="63" s="1"/>
  <c r="I106" i="63"/>
  <c r="H106" i="63"/>
  <c r="I105" i="63"/>
  <c r="H105" i="63"/>
  <c r="H104" i="63"/>
  <c r="K104" i="63" s="1"/>
  <c r="G104" i="63"/>
  <c r="G103" i="63"/>
  <c r="H103" i="63" s="1"/>
  <c r="K103" i="63" s="1"/>
  <c r="H102" i="63"/>
  <c r="K102" i="63" s="1"/>
  <c r="G102" i="63"/>
  <c r="G101" i="63"/>
  <c r="H101" i="63" s="1"/>
  <c r="K101" i="63" s="1"/>
  <c r="H100" i="63"/>
  <c r="K100" i="63" s="1"/>
  <c r="G100" i="63"/>
  <c r="I99" i="63"/>
  <c r="H99" i="63"/>
  <c r="I98" i="63"/>
  <c r="H98" i="63"/>
  <c r="G97" i="63"/>
  <c r="H97" i="63" s="1"/>
  <c r="K97" i="63" s="1"/>
  <c r="I96" i="63"/>
  <c r="H96" i="63"/>
  <c r="H95" i="63"/>
  <c r="K95" i="63" s="1"/>
  <c r="H94" i="63"/>
  <c r="K94" i="63" s="1"/>
  <c r="G94" i="63"/>
  <c r="I93" i="63"/>
  <c r="H93" i="63"/>
  <c r="I92" i="63"/>
  <c r="H92" i="63"/>
  <c r="G91" i="63"/>
  <c r="H91" i="63" s="1"/>
  <c r="K91" i="63" s="1"/>
  <c r="H90" i="63"/>
  <c r="K90" i="63" s="1"/>
  <c r="G90" i="63"/>
  <c r="G89" i="63"/>
  <c r="H89" i="63" s="1"/>
  <c r="K89" i="63" s="1"/>
  <c r="H88" i="63"/>
  <c r="K88" i="63" s="1"/>
  <c r="H87" i="63"/>
  <c r="K87" i="63" s="1"/>
  <c r="G87" i="63"/>
  <c r="I86" i="63"/>
  <c r="H86" i="63"/>
  <c r="G85" i="63"/>
  <c r="H85" i="63" s="1"/>
  <c r="K85" i="63" s="1"/>
  <c r="H84" i="63"/>
  <c r="K84" i="63" s="1"/>
  <c r="G84" i="63"/>
  <c r="K83" i="63"/>
  <c r="H83" i="63"/>
  <c r="G82" i="63"/>
  <c r="H82" i="63" s="1"/>
  <c r="K82" i="63" s="1"/>
  <c r="H81" i="63"/>
  <c r="K81" i="63" s="1"/>
  <c r="I80" i="63"/>
  <c r="H80" i="63"/>
  <c r="H79" i="63"/>
  <c r="K79" i="63" s="1"/>
  <c r="G79" i="63"/>
  <c r="K78" i="63"/>
  <c r="H78" i="63"/>
  <c r="I77" i="63"/>
  <c r="H77" i="63"/>
  <c r="I76" i="63"/>
  <c r="H76" i="63"/>
  <c r="I75" i="63"/>
  <c r="H75" i="63"/>
  <c r="G74" i="63"/>
  <c r="H74" i="63" s="1"/>
  <c r="K74" i="63" s="1"/>
  <c r="H73" i="63"/>
  <c r="K73" i="63" s="1"/>
  <c r="G73" i="63"/>
  <c r="I72" i="63"/>
  <c r="H72" i="63"/>
  <c r="G71" i="63"/>
  <c r="H71" i="63" s="1"/>
  <c r="K71" i="63" s="1"/>
  <c r="H70" i="63"/>
  <c r="K70" i="63" s="1"/>
  <c r="G70" i="63"/>
  <c r="I69" i="63"/>
  <c r="H69" i="63"/>
  <c r="G68" i="63"/>
  <c r="H68" i="63" s="1"/>
  <c r="K68" i="63" s="1"/>
  <c r="H67" i="63"/>
  <c r="K67" i="63" s="1"/>
  <c r="G67" i="63"/>
  <c r="G66" i="63"/>
  <c r="H66" i="63" s="1"/>
  <c r="K66" i="63" s="1"/>
  <c r="I65" i="63"/>
  <c r="H65" i="63"/>
  <c r="H64" i="63"/>
  <c r="K64" i="63" s="1"/>
  <c r="G64" i="63"/>
  <c r="G63" i="63"/>
  <c r="H63" i="63" s="1"/>
  <c r="K63" i="63" s="1"/>
  <c r="I62" i="63"/>
  <c r="H62" i="63"/>
  <c r="H61" i="63"/>
  <c r="K61" i="63" s="1"/>
  <c r="H60" i="63"/>
  <c r="K60" i="63" s="1"/>
  <c r="G60" i="63"/>
  <c r="G59" i="63"/>
  <c r="H59" i="63" s="1"/>
  <c r="K59" i="63" s="1"/>
  <c r="H58" i="63"/>
  <c r="K58" i="63" s="1"/>
  <c r="G58" i="63"/>
  <c r="G57" i="63"/>
  <c r="H57" i="63" s="1"/>
  <c r="K57" i="63" s="1"/>
  <c r="I56" i="63"/>
  <c r="H56" i="63"/>
  <c r="I55" i="63"/>
  <c r="H55" i="63"/>
  <c r="I54" i="63"/>
  <c r="H54" i="63"/>
  <c r="H53" i="63"/>
  <c r="K53" i="63" s="1"/>
  <c r="G53" i="63"/>
  <c r="I52" i="63"/>
  <c r="H52" i="63"/>
  <c r="G51" i="63"/>
  <c r="H51" i="63" s="1"/>
  <c r="K51" i="63" s="1"/>
  <c r="I50" i="63"/>
  <c r="H50" i="63"/>
  <c r="I49" i="63"/>
  <c r="H49" i="63"/>
  <c r="H48" i="63"/>
  <c r="K48" i="63" s="1"/>
  <c r="H47" i="63"/>
  <c r="K47" i="63" s="1"/>
  <c r="H46" i="63"/>
  <c r="K46" i="63" s="1"/>
  <c r="G46" i="63"/>
  <c r="I45" i="63"/>
  <c r="H45" i="63"/>
  <c r="K44" i="63"/>
  <c r="H44" i="63"/>
  <c r="G43" i="63"/>
  <c r="H43" i="63" s="1"/>
  <c r="K43" i="63" s="1"/>
  <c r="I42" i="63"/>
  <c r="I116" i="63" s="1"/>
  <c r="H42" i="63"/>
  <c r="J36" i="63"/>
  <c r="E34" i="63"/>
  <c r="E33" i="63"/>
  <c r="E32" i="63"/>
  <c r="E27" i="63"/>
  <c r="E26" i="63"/>
  <c r="E25" i="63"/>
  <c r="E20" i="63"/>
  <c r="J19" i="63"/>
  <c r="E19" i="63"/>
  <c r="E18" i="63"/>
  <c r="E13" i="63"/>
  <c r="E12" i="63"/>
  <c r="E11" i="63"/>
  <c r="J12" i="63" l="1"/>
  <c r="H173" i="63"/>
  <c r="J20" i="63" s="1"/>
  <c r="H292" i="63"/>
  <c r="J34" i="63" s="1"/>
  <c r="F293" i="63"/>
  <c r="G108" i="63"/>
  <c r="H108" i="63" s="1"/>
  <c r="K108" i="63" s="1"/>
  <c r="K117" i="63"/>
  <c r="K126" i="63"/>
  <c r="K129" i="63"/>
  <c r="K164" i="63"/>
  <c r="I226" i="63"/>
  <c r="J26" i="63" s="1"/>
  <c r="J23" i="63" s="1"/>
  <c r="K187" i="63"/>
  <c r="K198" i="63"/>
  <c r="K205" i="63"/>
  <c r="E293" i="63"/>
  <c r="K221" i="63"/>
  <c r="I292" i="63"/>
  <c r="J33" i="63" s="1"/>
  <c r="F313" i="62"/>
  <c r="E313" i="62"/>
  <c r="D313" i="62"/>
  <c r="G312" i="62"/>
  <c r="G311" i="62"/>
  <c r="G310" i="62"/>
  <c r="G309" i="62"/>
  <c r="G308" i="62"/>
  <c r="G307" i="62"/>
  <c r="G306" i="62"/>
  <c r="G305" i="62"/>
  <c r="G304" i="62"/>
  <c r="G303" i="62"/>
  <c r="G302" i="62"/>
  <c r="G301" i="62"/>
  <c r="G300" i="62"/>
  <c r="G299" i="62"/>
  <c r="G298" i="62"/>
  <c r="G313" i="62" s="1"/>
  <c r="D292" i="62"/>
  <c r="G291" i="62"/>
  <c r="H291" i="62" s="1"/>
  <c r="I290" i="62"/>
  <c r="H290" i="62"/>
  <c r="K290" i="62" s="1"/>
  <c r="H289" i="62"/>
  <c r="G289" i="62"/>
  <c r="H288" i="62"/>
  <c r="G288" i="62"/>
  <c r="I287" i="62"/>
  <c r="H287" i="62"/>
  <c r="K287" i="62" s="1"/>
  <c r="I286" i="62"/>
  <c r="H286" i="62"/>
  <c r="K286" i="62" s="1"/>
  <c r="I285" i="62"/>
  <c r="H285" i="62"/>
  <c r="K285" i="62" s="1"/>
  <c r="I284" i="62"/>
  <c r="H284" i="62"/>
  <c r="K284" i="62" s="1"/>
  <c r="H283" i="62"/>
  <c r="G283" i="62"/>
  <c r="H282" i="62"/>
  <c r="G281" i="62"/>
  <c r="H281" i="62" s="1"/>
  <c r="I280" i="62"/>
  <c r="H280" i="62"/>
  <c r="K280" i="62" s="1"/>
  <c r="H279" i="62"/>
  <c r="G279" i="62"/>
  <c r="I278" i="62"/>
  <c r="H278" i="62"/>
  <c r="K278" i="62" s="1"/>
  <c r="G277" i="62"/>
  <c r="H277" i="62" s="1"/>
  <c r="H276" i="62"/>
  <c r="I275" i="62"/>
  <c r="H275" i="62"/>
  <c r="K275" i="62" s="1"/>
  <c r="G274" i="62"/>
  <c r="H274" i="62" s="1"/>
  <c r="I273" i="62"/>
  <c r="H273" i="62"/>
  <c r="K273" i="62" s="1"/>
  <c r="I272" i="62"/>
  <c r="H272" i="62"/>
  <c r="K272" i="62" s="1"/>
  <c r="H271" i="62"/>
  <c r="I270" i="62"/>
  <c r="H270" i="62"/>
  <c r="K270" i="62" s="1"/>
  <c r="I269" i="62"/>
  <c r="H269" i="62"/>
  <c r="K269" i="62" s="1"/>
  <c r="H268" i="62"/>
  <c r="G268" i="62"/>
  <c r="H267" i="62"/>
  <c r="G267" i="62"/>
  <c r="H266" i="62"/>
  <c r="G266" i="62"/>
  <c r="H265" i="62"/>
  <c r="G265" i="62"/>
  <c r="H264" i="62"/>
  <c r="I263" i="62"/>
  <c r="H263" i="62"/>
  <c r="K263" i="62" s="1"/>
  <c r="H262" i="62"/>
  <c r="G262" i="62"/>
  <c r="I261" i="62"/>
  <c r="H261" i="62"/>
  <c r="K261" i="62" s="1"/>
  <c r="G260" i="62"/>
  <c r="H260" i="62" s="1"/>
  <c r="I259" i="62"/>
  <c r="H259" i="62"/>
  <c r="K259" i="62" s="1"/>
  <c r="I258" i="62"/>
  <c r="H258" i="62"/>
  <c r="K258" i="62" s="1"/>
  <c r="G257" i="62"/>
  <c r="H257" i="62" s="1"/>
  <c r="I256" i="62"/>
  <c r="H256" i="62"/>
  <c r="K256" i="62" s="1"/>
  <c r="I255" i="62"/>
  <c r="H255" i="62"/>
  <c r="K255" i="62" s="1"/>
  <c r="I254" i="62"/>
  <c r="H254" i="62"/>
  <c r="K254" i="62" s="1"/>
  <c r="I253" i="62"/>
  <c r="H253" i="62"/>
  <c r="K253" i="62" s="1"/>
  <c r="G252" i="62"/>
  <c r="H252" i="62" s="1"/>
  <c r="I251" i="62"/>
  <c r="H251" i="62"/>
  <c r="K251" i="62" s="1"/>
  <c r="I250" i="62"/>
  <c r="H250" i="62"/>
  <c r="K250" i="62" s="1"/>
  <c r="I249" i="62"/>
  <c r="H249" i="62"/>
  <c r="K249" i="62" s="1"/>
  <c r="I248" i="62"/>
  <c r="H248" i="62"/>
  <c r="K248" i="62" s="1"/>
  <c r="I247" i="62"/>
  <c r="H247" i="62"/>
  <c r="K247" i="62" s="1"/>
  <c r="H246" i="62"/>
  <c r="G245" i="62"/>
  <c r="H245" i="62" s="1"/>
  <c r="G244" i="62"/>
  <c r="H244" i="62" s="1"/>
  <c r="I243" i="62"/>
  <c r="H243" i="62"/>
  <c r="K243" i="62" s="1"/>
  <c r="H242" i="62"/>
  <c r="G242" i="62"/>
  <c r="H241" i="62"/>
  <c r="H240" i="62"/>
  <c r="H239" i="62"/>
  <c r="I238" i="62"/>
  <c r="H238" i="62"/>
  <c r="H237" i="62"/>
  <c r="G237" i="62"/>
  <c r="H236" i="62"/>
  <c r="H235" i="62"/>
  <c r="H234" i="62"/>
  <c r="G234" i="62"/>
  <c r="H233" i="62"/>
  <c r="I232" i="62"/>
  <c r="H232" i="62"/>
  <c r="H231" i="62"/>
  <c r="G231" i="62"/>
  <c r="I230" i="62"/>
  <c r="H230" i="62"/>
  <c r="K230" i="62" s="1"/>
  <c r="I229" i="62"/>
  <c r="H229" i="62"/>
  <c r="I228" i="62"/>
  <c r="H228" i="62"/>
  <c r="K228" i="62" s="1"/>
  <c r="I227" i="62"/>
  <c r="H227" i="62"/>
  <c r="H292" i="62" s="1"/>
  <c r="J34" i="62" s="1"/>
  <c r="D226" i="62"/>
  <c r="I225" i="62"/>
  <c r="H225" i="62"/>
  <c r="I224" i="62"/>
  <c r="H224" i="62"/>
  <c r="K224" i="62" s="1"/>
  <c r="I223" i="62"/>
  <c r="H223" i="62"/>
  <c r="K223" i="62" s="1"/>
  <c r="H222" i="62"/>
  <c r="G222" i="62"/>
  <c r="I221" i="62"/>
  <c r="H221" i="62"/>
  <c r="K221" i="62" s="1"/>
  <c r="G220" i="62"/>
  <c r="H220" i="62" s="1"/>
  <c r="F219" i="62"/>
  <c r="E219" i="62"/>
  <c r="G219" i="62" s="1"/>
  <c r="H219" i="62" s="1"/>
  <c r="F218" i="62"/>
  <c r="E218" i="62"/>
  <c r="G218" i="62" s="1"/>
  <c r="H218" i="62" s="1"/>
  <c r="G217" i="62"/>
  <c r="H217" i="62" s="1"/>
  <c r="I216" i="62"/>
  <c r="H216" i="62"/>
  <c r="K216" i="62" s="1"/>
  <c r="H215" i="62"/>
  <c r="G214" i="62"/>
  <c r="H214" i="62" s="1"/>
  <c r="H213" i="62"/>
  <c r="G213" i="62"/>
  <c r="H212" i="62"/>
  <c r="I211" i="62"/>
  <c r="H211" i="62"/>
  <c r="K211" i="62" s="1"/>
  <c r="I210" i="62"/>
  <c r="H210" i="62"/>
  <c r="K210" i="62" s="1"/>
  <c r="G209" i="62"/>
  <c r="H209" i="62" s="1"/>
  <c r="G208" i="62"/>
  <c r="H208" i="62" s="1"/>
  <c r="G207" i="62"/>
  <c r="H207" i="62" s="1"/>
  <c r="G206" i="62"/>
  <c r="H206" i="62" s="1"/>
  <c r="I205" i="62"/>
  <c r="H205" i="62"/>
  <c r="E204" i="62"/>
  <c r="G204" i="62" s="1"/>
  <c r="H204" i="62" s="1"/>
  <c r="G203" i="62"/>
  <c r="H203" i="62" s="1"/>
  <c r="E203" i="62"/>
  <c r="E202" i="62"/>
  <c r="G202" i="62" s="1"/>
  <c r="H202" i="62" s="1"/>
  <c r="I201" i="62"/>
  <c r="H201" i="62"/>
  <c r="K201" i="62" s="1"/>
  <c r="H200" i="62"/>
  <c r="G200" i="62"/>
  <c r="I199" i="62"/>
  <c r="H199" i="62"/>
  <c r="K199" i="62" s="1"/>
  <c r="I198" i="62"/>
  <c r="H198" i="62"/>
  <c r="K198" i="62" s="1"/>
  <c r="H197" i="62"/>
  <c r="G197" i="62"/>
  <c r="H196" i="62"/>
  <c r="H195" i="62"/>
  <c r="H194" i="62"/>
  <c r="G194" i="62"/>
  <c r="H193" i="62"/>
  <c r="G193" i="62"/>
  <c r="I192" i="62"/>
  <c r="H192" i="62"/>
  <c r="K192" i="62" s="1"/>
  <c r="G191" i="62"/>
  <c r="H191" i="62" s="1"/>
  <c r="G190" i="62"/>
  <c r="H190" i="62" s="1"/>
  <c r="G189" i="62"/>
  <c r="H189" i="62" s="1"/>
  <c r="G188" i="62"/>
  <c r="H188" i="62" s="1"/>
  <c r="I187" i="62"/>
  <c r="H187" i="62"/>
  <c r="K187" i="62" s="1"/>
  <c r="H186" i="62"/>
  <c r="G186" i="62"/>
  <c r="H185" i="62"/>
  <c r="I184" i="62"/>
  <c r="H184" i="62"/>
  <c r="H183" i="62"/>
  <c r="G182" i="62"/>
  <c r="H182" i="62" s="1"/>
  <c r="G181" i="62"/>
  <c r="H181" i="62" s="1"/>
  <c r="G180" i="62"/>
  <c r="H180" i="62" s="1"/>
  <c r="I179" i="62"/>
  <c r="I226" i="62" s="1"/>
  <c r="J26" i="62" s="1"/>
  <c r="H179" i="62"/>
  <c r="H178" i="62"/>
  <c r="G178" i="62"/>
  <c r="H177" i="62"/>
  <c r="G177" i="62"/>
  <c r="H176" i="62"/>
  <c r="G176" i="62"/>
  <c r="H175" i="62"/>
  <c r="G175" i="62"/>
  <c r="H174" i="62"/>
  <c r="D173" i="62"/>
  <c r="H172" i="62"/>
  <c r="G172" i="62"/>
  <c r="H171" i="62"/>
  <c r="I170" i="62"/>
  <c r="H170" i="62"/>
  <c r="I169" i="62"/>
  <c r="H169" i="62"/>
  <c r="K169" i="62" s="1"/>
  <c r="G168" i="62"/>
  <c r="H168" i="62" s="1"/>
  <c r="G167" i="62"/>
  <c r="H167" i="62" s="1"/>
  <c r="G166" i="62"/>
  <c r="H166" i="62" s="1"/>
  <c r="G165" i="62"/>
  <c r="H165" i="62" s="1"/>
  <c r="I164" i="62"/>
  <c r="H164" i="62"/>
  <c r="K164" i="62" s="1"/>
  <c r="I163" i="62"/>
  <c r="H163" i="62"/>
  <c r="K163" i="62" s="1"/>
  <c r="G162" i="62"/>
  <c r="H162" i="62" s="1"/>
  <c r="G161" i="62"/>
  <c r="H161" i="62" s="1"/>
  <c r="G160" i="62"/>
  <c r="H160" i="62" s="1"/>
  <c r="G159" i="62"/>
  <c r="H159" i="62" s="1"/>
  <c r="I158" i="62"/>
  <c r="H158" i="62"/>
  <c r="H157" i="62"/>
  <c r="G157" i="62"/>
  <c r="H156" i="62"/>
  <c r="G156" i="62"/>
  <c r="H155" i="62"/>
  <c r="G155" i="62"/>
  <c r="H154" i="62"/>
  <c r="G154" i="62"/>
  <c r="H153" i="62"/>
  <c r="F152" i="62"/>
  <c r="H152" i="62" s="1"/>
  <c r="G151" i="62"/>
  <c r="H151" i="62" s="1"/>
  <c r="G150" i="62"/>
  <c r="H150" i="62" s="1"/>
  <c r="I149" i="62"/>
  <c r="H149" i="62"/>
  <c r="E148" i="62"/>
  <c r="G148" i="62" s="1"/>
  <c r="H148" i="62" s="1"/>
  <c r="I147" i="62"/>
  <c r="H147" i="62"/>
  <c r="K147" i="62" s="1"/>
  <c r="H146" i="62"/>
  <c r="G146" i="62"/>
  <c r="F145" i="62"/>
  <c r="E145" i="62"/>
  <c r="H145" i="62" s="1"/>
  <c r="G144" i="62"/>
  <c r="H144" i="62" s="1"/>
  <c r="H143" i="62"/>
  <c r="H142" i="62"/>
  <c r="G142" i="62"/>
  <c r="H141" i="62"/>
  <c r="G141" i="62"/>
  <c r="H140" i="62"/>
  <c r="I139" i="62"/>
  <c r="H139" i="62"/>
  <c r="H138" i="62"/>
  <c r="G138" i="62"/>
  <c r="I137" i="62"/>
  <c r="H137" i="62"/>
  <c r="K137" i="62" s="1"/>
  <c r="G136" i="62"/>
  <c r="H136" i="62" s="1"/>
  <c r="G135" i="62"/>
  <c r="H135" i="62" s="1"/>
  <c r="G134" i="62"/>
  <c r="H134" i="62" s="1"/>
  <c r="G133" i="62"/>
  <c r="H133" i="62" s="1"/>
  <c r="I132" i="62"/>
  <c r="H132" i="62"/>
  <c r="H131" i="62"/>
  <c r="G131" i="62"/>
  <c r="H130" i="62"/>
  <c r="G130" i="62"/>
  <c r="I129" i="62"/>
  <c r="H129" i="62"/>
  <c r="K129" i="62" s="1"/>
  <c r="G128" i="62"/>
  <c r="H128" i="62" s="1"/>
  <c r="I127" i="62"/>
  <c r="H127" i="62"/>
  <c r="K127" i="62" s="1"/>
  <c r="I126" i="62"/>
  <c r="H126" i="62"/>
  <c r="K126" i="62" s="1"/>
  <c r="G125" i="62"/>
  <c r="H125" i="62" s="1"/>
  <c r="G124" i="62"/>
  <c r="H124" i="62" s="1"/>
  <c r="I123" i="62"/>
  <c r="H123" i="62"/>
  <c r="I122" i="62"/>
  <c r="H122" i="62"/>
  <c r="K122" i="62" s="1"/>
  <c r="G121" i="62"/>
  <c r="H121" i="62" s="1"/>
  <c r="H120" i="62"/>
  <c r="H119" i="62"/>
  <c r="G119" i="62"/>
  <c r="H118" i="62"/>
  <c r="G118" i="62"/>
  <c r="I117" i="62"/>
  <c r="I173" i="62" s="1"/>
  <c r="J19" i="62" s="1"/>
  <c r="H117" i="62"/>
  <c r="H173" i="62" s="1"/>
  <c r="J20" i="62" s="1"/>
  <c r="D116" i="62"/>
  <c r="D293" i="62" s="1"/>
  <c r="I115" i="62"/>
  <c r="H115" i="62"/>
  <c r="K115" i="62" s="1"/>
  <c r="I114" i="62"/>
  <c r="H114" i="62"/>
  <c r="I113" i="62"/>
  <c r="H113" i="62"/>
  <c r="K113" i="62" s="1"/>
  <c r="I112" i="62"/>
  <c r="H112" i="62"/>
  <c r="K112" i="62" s="1"/>
  <c r="I111" i="62"/>
  <c r="H111" i="62"/>
  <c r="K111" i="62" s="1"/>
  <c r="G110" i="62"/>
  <c r="H110" i="62" s="1"/>
  <c r="G109" i="62"/>
  <c r="H109" i="62" s="1"/>
  <c r="F108" i="62"/>
  <c r="E108" i="62"/>
  <c r="G108" i="62" s="1"/>
  <c r="H108" i="62" s="1"/>
  <c r="G107" i="62"/>
  <c r="H107" i="62" s="1"/>
  <c r="I106" i="62"/>
  <c r="H106" i="62"/>
  <c r="I105" i="62"/>
  <c r="H105" i="62"/>
  <c r="K105" i="62" s="1"/>
  <c r="G104" i="62"/>
  <c r="H104" i="62" s="1"/>
  <c r="G103" i="62"/>
  <c r="H103" i="62" s="1"/>
  <c r="G102" i="62"/>
  <c r="H102" i="62" s="1"/>
  <c r="G101" i="62"/>
  <c r="H101" i="62" s="1"/>
  <c r="G100" i="62"/>
  <c r="H100" i="62" s="1"/>
  <c r="I99" i="62"/>
  <c r="H99" i="62"/>
  <c r="K99" i="62" s="1"/>
  <c r="I98" i="62"/>
  <c r="H98" i="62"/>
  <c r="K98" i="62" s="1"/>
  <c r="I97" i="62"/>
  <c r="H97" i="62"/>
  <c r="K97" i="62" s="1"/>
  <c r="I96" i="62"/>
  <c r="H96" i="62"/>
  <c r="K96" i="62" s="1"/>
  <c r="H95" i="62"/>
  <c r="H94" i="62"/>
  <c r="G94" i="62"/>
  <c r="I93" i="62"/>
  <c r="H93" i="62"/>
  <c r="K93" i="62" s="1"/>
  <c r="I92" i="62"/>
  <c r="H92" i="62"/>
  <c r="K92" i="62" s="1"/>
  <c r="H91" i="62"/>
  <c r="G91" i="62"/>
  <c r="H90" i="62"/>
  <c r="G90" i="62"/>
  <c r="H89" i="62"/>
  <c r="G89" i="62"/>
  <c r="H88" i="62"/>
  <c r="G87" i="62"/>
  <c r="H87" i="62" s="1"/>
  <c r="I86" i="62"/>
  <c r="H86" i="62"/>
  <c r="K86" i="62" s="1"/>
  <c r="H85" i="62"/>
  <c r="G85" i="62"/>
  <c r="H84" i="62"/>
  <c r="G84" i="62"/>
  <c r="H83" i="62"/>
  <c r="E83" i="62"/>
  <c r="H82" i="62"/>
  <c r="G82" i="62"/>
  <c r="H81" i="62"/>
  <c r="I80" i="62"/>
  <c r="H80" i="62"/>
  <c r="K80" i="62" s="1"/>
  <c r="H79" i="62"/>
  <c r="G79" i="62"/>
  <c r="H78" i="62"/>
  <c r="I77" i="62"/>
  <c r="H77" i="62"/>
  <c r="K77" i="62" s="1"/>
  <c r="I76" i="62"/>
  <c r="H76" i="62"/>
  <c r="K76" i="62" s="1"/>
  <c r="I75" i="62"/>
  <c r="H75" i="62"/>
  <c r="K75" i="62" s="1"/>
  <c r="H74" i="62"/>
  <c r="G74" i="62"/>
  <c r="H73" i="62"/>
  <c r="G73" i="62"/>
  <c r="I72" i="62"/>
  <c r="H72" i="62"/>
  <c r="K72" i="62" s="1"/>
  <c r="G71" i="62"/>
  <c r="H71" i="62" s="1"/>
  <c r="G70" i="62"/>
  <c r="H70" i="62" s="1"/>
  <c r="I69" i="62"/>
  <c r="H69" i="62"/>
  <c r="K69" i="62" s="1"/>
  <c r="H68" i="62"/>
  <c r="G68" i="62"/>
  <c r="H67" i="62"/>
  <c r="G67" i="62"/>
  <c r="H66" i="62"/>
  <c r="G66" i="62"/>
  <c r="I65" i="62"/>
  <c r="H65" i="62"/>
  <c r="K65" i="62" s="1"/>
  <c r="G64" i="62"/>
  <c r="H64" i="62" s="1"/>
  <c r="G63" i="62"/>
  <c r="H63" i="62" s="1"/>
  <c r="I62" i="62"/>
  <c r="H62" i="62"/>
  <c r="K62" i="62" s="1"/>
  <c r="H61" i="62"/>
  <c r="G60" i="62"/>
  <c r="H60" i="62" s="1"/>
  <c r="G59" i="62"/>
  <c r="H59" i="62" s="1"/>
  <c r="G58" i="62"/>
  <c r="H58" i="62" s="1"/>
  <c r="G57" i="62"/>
  <c r="H57" i="62" s="1"/>
  <c r="I56" i="62"/>
  <c r="H56" i="62"/>
  <c r="K56" i="62" s="1"/>
  <c r="I55" i="62"/>
  <c r="H55" i="62"/>
  <c r="K55" i="62" s="1"/>
  <c r="I54" i="62"/>
  <c r="H54" i="62"/>
  <c r="K54" i="62" s="1"/>
  <c r="H53" i="62"/>
  <c r="G53" i="62"/>
  <c r="I52" i="62"/>
  <c r="H52" i="62"/>
  <c r="K52" i="62" s="1"/>
  <c r="G51" i="62"/>
  <c r="H51" i="62" s="1"/>
  <c r="I50" i="62"/>
  <c r="H50" i="62"/>
  <c r="K50" i="62" s="1"/>
  <c r="I49" i="62"/>
  <c r="H49" i="62"/>
  <c r="K49" i="62" s="1"/>
  <c r="H48" i="62"/>
  <c r="H47" i="62"/>
  <c r="G46" i="62"/>
  <c r="H46" i="62" s="1"/>
  <c r="I45" i="62"/>
  <c r="H45" i="62"/>
  <c r="K45" i="62" s="1"/>
  <c r="H44" i="62"/>
  <c r="G43" i="62"/>
  <c r="H43" i="62" s="1"/>
  <c r="I42" i="62"/>
  <c r="I116" i="62" s="1"/>
  <c r="H42" i="62"/>
  <c r="J36" i="62"/>
  <c r="E34" i="62"/>
  <c r="E33" i="62"/>
  <c r="E32" i="62"/>
  <c r="E27" i="62"/>
  <c r="E26" i="62"/>
  <c r="E25" i="62"/>
  <c r="E20" i="62"/>
  <c r="E19" i="62"/>
  <c r="E18" i="62"/>
  <c r="E13" i="62"/>
  <c r="E12" i="62"/>
  <c r="E11" i="62"/>
  <c r="G293" i="63" l="1"/>
  <c r="J31" i="63"/>
  <c r="J30" i="63"/>
  <c r="J17" i="63"/>
  <c r="J16" i="63"/>
  <c r="J24" i="63"/>
  <c r="H116" i="63"/>
  <c r="I293" i="63"/>
  <c r="J17" i="62"/>
  <c r="J16" i="62"/>
  <c r="H116" i="62"/>
  <c r="J125" i="62"/>
  <c r="J133" i="62"/>
  <c r="K133" i="62" s="1"/>
  <c r="J135" i="62"/>
  <c r="K135" i="62" s="1"/>
  <c r="J143" i="62"/>
  <c r="J150" i="62"/>
  <c r="K150" i="62" s="1"/>
  <c r="J152" i="62"/>
  <c r="K152" i="62" s="1"/>
  <c r="J160" i="62"/>
  <c r="J12" i="62"/>
  <c r="J172" i="62"/>
  <c r="K172" i="62" s="1"/>
  <c r="J157" i="62"/>
  <c r="K157" i="62" s="1"/>
  <c r="J155" i="62"/>
  <c r="K155" i="62" s="1"/>
  <c r="J153" i="62"/>
  <c r="K153" i="62" s="1"/>
  <c r="J146" i="62"/>
  <c r="K146" i="62" s="1"/>
  <c r="J142" i="62"/>
  <c r="K142" i="62" s="1"/>
  <c r="J140" i="62"/>
  <c r="K140" i="62" s="1"/>
  <c r="J131" i="62"/>
  <c r="K131" i="62" s="1"/>
  <c r="J119" i="62"/>
  <c r="K119" i="62" s="1"/>
  <c r="K42" i="62"/>
  <c r="E293" i="62"/>
  <c r="K106" i="62"/>
  <c r="K114" i="62"/>
  <c r="K117" i="62"/>
  <c r="J120" i="62"/>
  <c r="K120" i="62" s="1"/>
  <c r="K123" i="62"/>
  <c r="K125" i="62"/>
  <c r="K132" i="62"/>
  <c r="K139" i="62"/>
  <c r="K143" i="62"/>
  <c r="K149" i="62"/>
  <c r="K158" i="62"/>
  <c r="K160" i="62"/>
  <c r="J166" i="62"/>
  <c r="K166" i="62" s="1"/>
  <c r="J168" i="62"/>
  <c r="K168" i="62" s="1"/>
  <c r="K170" i="62"/>
  <c r="H226" i="62"/>
  <c r="J27" i="62" s="1"/>
  <c r="K179" i="62"/>
  <c r="K184" i="62"/>
  <c r="K205" i="62"/>
  <c r="F293" i="62"/>
  <c r="G293" i="62" s="1"/>
  <c r="K225" i="62"/>
  <c r="I292" i="62"/>
  <c r="J33" i="62" s="1"/>
  <c r="J30" i="62" s="1"/>
  <c r="K229" i="62"/>
  <c r="K232" i="62"/>
  <c r="K238" i="62"/>
  <c r="K227" i="62"/>
  <c r="H293" i="63" l="1"/>
  <c r="J13" i="63"/>
  <c r="J220" i="63"/>
  <c r="K220" i="63" s="1"/>
  <c r="J217" i="63"/>
  <c r="K217" i="63" s="1"/>
  <c r="J213" i="63"/>
  <c r="K213" i="63" s="1"/>
  <c r="J215" i="63"/>
  <c r="K215" i="63" s="1"/>
  <c r="J203" i="63"/>
  <c r="K203" i="63" s="1"/>
  <c r="J197" i="63"/>
  <c r="K197" i="63" s="1"/>
  <c r="J194" i="63"/>
  <c r="K194" i="63" s="1"/>
  <c r="J186" i="63"/>
  <c r="K186" i="63" s="1"/>
  <c r="J183" i="63"/>
  <c r="K183" i="63" s="1"/>
  <c r="J177" i="63"/>
  <c r="K177" i="63" s="1"/>
  <c r="J175" i="63"/>
  <c r="K175" i="63" s="1"/>
  <c r="J189" i="63"/>
  <c r="K189" i="63" s="1"/>
  <c r="J191" i="63"/>
  <c r="K191" i="63" s="1"/>
  <c r="J199" i="63"/>
  <c r="K199" i="63" s="1"/>
  <c r="J206" i="63"/>
  <c r="K206" i="63" s="1"/>
  <c r="J208" i="63"/>
  <c r="K208" i="63" s="1"/>
  <c r="J222" i="63"/>
  <c r="K222" i="63" s="1"/>
  <c r="J180" i="63"/>
  <c r="K180" i="63" s="1"/>
  <c r="J182" i="63"/>
  <c r="K182" i="63" s="1"/>
  <c r="J195" i="63"/>
  <c r="K195" i="63" s="1"/>
  <c r="J218" i="63"/>
  <c r="K218" i="63" s="1"/>
  <c r="J219" i="63"/>
  <c r="K219" i="63" s="1"/>
  <c r="J214" i="63"/>
  <c r="K214" i="63" s="1"/>
  <c r="J212" i="63"/>
  <c r="K212" i="63" s="1"/>
  <c r="J204" i="63"/>
  <c r="K204" i="63" s="1"/>
  <c r="J202" i="63"/>
  <c r="K202" i="63" s="1"/>
  <c r="J196" i="63"/>
  <c r="K196" i="63" s="1"/>
  <c r="J193" i="63"/>
  <c r="K193" i="63" s="1"/>
  <c r="J185" i="63"/>
  <c r="K185" i="63" s="1"/>
  <c r="J178" i="63"/>
  <c r="K178" i="63" s="1"/>
  <c r="J176" i="63"/>
  <c r="K176" i="63" s="1"/>
  <c r="J174" i="63"/>
  <c r="J188" i="63"/>
  <c r="K188" i="63" s="1"/>
  <c r="J190" i="63"/>
  <c r="K190" i="63" s="1"/>
  <c r="J200" i="63"/>
  <c r="K200" i="63" s="1"/>
  <c r="J207" i="63"/>
  <c r="K207" i="63" s="1"/>
  <c r="J209" i="63"/>
  <c r="K209" i="63" s="1"/>
  <c r="J181" i="63"/>
  <c r="K181" i="63" s="1"/>
  <c r="J172" i="63"/>
  <c r="K172" i="63" s="1"/>
  <c r="J157" i="63"/>
  <c r="K157" i="63" s="1"/>
  <c r="J155" i="63"/>
  <c r="K155" i="63" s="1"/>
  <c r="J153" i="63"/>
  <c r="K153" i="63" s="1"/>
  <c r="J142" i="63"/>
  <c r="K142" i="63" s="1"/>
  <c r="J140" i="63"/>
  <c r="K140" i="63" s="1"/>
  <c r="J135" i="63"/>
  <c r="K135" i="63" s="1"/>
  <c r="J133" i="63"/>
  <c r="K133" i="63" s="1"/>
  <c r="J125" i="63"/>
  <c r="K125" i="63" s="1"/>
  <c r="J121" i="63"/>
  <c r="K121" i="63" s="1"/>
  <c r="J119" i="63"/>
  <c r="K119" i="63" s="1"/>
  <c r="J131" i="63"/>
  <c r="K131" i="63" s="1"/>
  <c r="J166" i="63"/>
  <c r="K166" i="63" s="1"/>
  <c r="J168" i="63"/>
  <c r="K168" i="63" s="1"/>
  <c r="J143" i="63"/>
  <c r="K143" i="63" s="1"/>
  <c r="J145" i="63"/>
  <c r="K145" i="63" s="1"/>
  <c r="J150" i="63"/>
  <c r="K150" i="63" s="1"/>
  <c r="J152" i="63"/>
  <c r="K152" i="63" s="1"/>
  <c r="J160" i="63"/>
  <c r="K160" i="63" s="1"/>
  <c r="J162" i="63"/>
  <c r="K162" i="63" s="1"/>
  <c r="J171" i="63"/>
  <c r="K171" i="63" s="1"/>
  <c r="J156" i="63"/>
  <c r="K156" i="63" s="1"/>
  <c r="J154" i="63"/>
  <c r="K154" i="63" s="1"/>
  <c r="J148" i="63"/>
  <c r="K148" i="63" s="1"/>
  <c r="J141" i="63"/>
  <c r="K141" i="63" s="1"/>
  <c r="J138" i="63"/>
  <c r="K138" i="63" s="1"/>
  <c r="J134" i="63"/>
  <c r="K134" i="63" s="1"/>
  <c r="J128" i="63"/>
  <c r="K128" i="63" s="1"/>
  <c r="J124" i="63"/>
  <c r="K124" i="63" s="1"/>
  <c r="J120" i="63"/>
  <c r="K120" i="63" s="1"/>
  <c r="J118" i="63"/>
  <c r="J130" i="63"/>
  <c r="K130" i="63" s="1"/>
  <c r="J165" i="63"/>
  <c r="K165" i="63" s="1"/>
  <c r="J167" i="63"/>
  <c r="K167" i="63" s="1"/>
  <c r="J136" i="63"/>
  <c r="K136" i="63" s="1"/>
  <c r="J144" i="63"/>
  <c r="K144" i="63" s="1"/>
  <c r="J146" i="63"/>
  <c r="K146" i="63" s="1"/>
  <c r="J151" i="63"/>
  <c r="K151" i="63" s="1"/>
  <c r="J159" i="63"/>
  <c r="K159" i="63" s="1"/>
  <c r="J161" i="63"/>
  <c r="K161" i="63" s="1"/>
  <c r="J290" i="63"/>
  <c r="K290" i="63" s="1"/>
  <c r="J286" i="63"/>
  <c r="K286" i="63" s="1"/>
  <c r="J284" i="63"/>
  <c r="K284" i="63" s="1"/>
  <c r="J275" i="63"/>
  <c r="K275" i="63" s="1"/>
  <c r="J256" i="63"/>
  <c r="K256" i="63" s="1"/>
  <c r="J254" i="63"/>
  <c r="K254" i="63" s="1"/>
  <c r="J238" i="63"/>
  <c r="K238" i="63" s="1"/>
  <c r="J278" i="63"/>
  <c r="K278" i="63" s="1"/>
  <c r="J272" i="63"/>
  <c r="K272" i="63" s="1"/>
  <c r="J269" i="63"/>
  <c r="K269" i="63" s="1"/>
  <c r="J250" i="63"/>
  <c r="K250" i="63" s="1"/>
  <c r="J230" i="63"/>
  <c r="K230" i="63" s="1"/>
  <c r="J263" i="63"/>
  <c r="K263" i="63" s="1"/>
  <c r="J249" i="63"/>
  <c r="K249" i="63" s="1"/>
  <c r="J287" i="63"/>
  <c r="K287" i="63" s="1"/>
  <c r="J285" i="63"/>
  <c r="K285" i="63" s="1"/>
  <c r="J280" i="63"/>
  <c r="K280" i="63" s="1"/>
  <c r="J261" i="63"/>
  <c r="K261" i="63" s="1"/>
  <c r="J255" i="63"/>
  <c r="K255" i="63" s="1"/>
  <c r="J253" i="63"/>
  <c r="K253" i="63" s="1"/>
  <c r="J232" i="63"/>
  <c r="K232" i="63" s="1"/>
  <c r="J273" i="63"/>
  <c r="K273" i="63" s="1"/>
  <c r="J270" i="63"/>
  <c r="K270" i="63" s="1"/>
  <c r="J258" i="63"/>
  <c r="K258" i="63" s="1"/>
  <c r="J248" i="63"/>
  <c r="K248" i="63" s="1"/>
  <c r="J228" i="63"/>
  <c r="K228" i="63" s="1"/>
  <c r="J227" i="63"/>
  <c r="J243" i="63"/>
  <c r="K243" i="63" s="1"/>
  <c r="J247" i="63"/>
  <c r="K247" i="63" s="1"/>
  <c r="J251" i="63"/>
  <c r="K251" i="63" s="1"/>
  <c r="J229" i="63"/>
  <c r="K229" i="63" s="1"/>
  <c r="J259" i="63"/>
  <c r="K259" i="63" s="1"/>
  <c r="J24" i="62"/>
  <c r="J23" i="62"/>
  <c r="I293" i="62"/>
  <c r="J31" i="62"/>
  <c r="H293" i="62"/>
  <c r="J13" i="62"/>
  <c r="J162" i="62"/>
  <c r="K162" i="62" s="1"/>
  <c r="J167" i="62"/>
  <c r="K167" i="62" s="1"/>
  <c r="J165" i="62"/>
  <c r="K165" i="62" s="1"/>
  <c r="J128" i="62"/>
  <c r="K128" i="62" s="1"/>
  <c r="J121" i="62"/>
  <c r="K121" i="62" s="1"/>
  <c r="J118" i="62"/>
  <c r="J130" i="62"/>
  <c r="K130" i="62" s="1"/>
  <c r="J138" i="62"/>
  <c r="K138" i="62" s="1"/>
  <c r="J141" i="62"/>
  <c r="K141" i="62" s="1"/>
  <c r="J145" i="62"/>
  <c r="K145" i="62" s="1"/>
  <c r="J148" i="62"/>
  <c r="K148" i="62" s="1"/>
  <c r="J154" i="62"/>
  <c r="K154" i="62" s="1"/>
  <c r="J156" i="62"/>
  <c r="K156" i="62" s="1"/>
  <c r="J171" i="62"/>
  <c r="K171" i="62" s="1"/>
  <c r="J161" i="62"/>
  <c r="K161" i="62" s="1"/>
  <c r="J159" i="62"/>
  <c r="K159" i="62" s="1"/>
  <c r="J151" i="62"/>
  <c r="K151" i="62" s="1"/>
  <c r="J144" i="62"/>
  <c r="K144" i="62" s="1"/>
  <c r="J136" i="62"/>
  <c r="K136" i="62" s="1"/>
  <c r="J134" i="62"/>
  <c r="K134" i="62" s="1"/>
  <c r="J124" i="62"/>
  <c r="K124" i="62" s="1"/>
  <c r="J292" i="63" l="1"/>
  <c r="K227" i="63"/>
  <c r="K292" i="63" s="1"/>
  <c r="J10" i="63"/>
  <c r="J9" i="63"/>
  <c r="J173" i="63"/>
  <c r="K118" i="63"/>
  <c r="K173" i="63" s="1"/>
  <c r="J226" i="63"/>
  <c r="K174" i="63"/>
  <c r="K226" i="63" s="1"/>
  <c r="J10" i="62"/>
  <c r="J9" i="62"/>
  <c r="J240" i="62"/>
  <c r="K240" i="62" s="1"/>
  <c r="J288" i="62"/>
  <c r="K288" i="62" s="1"/>
  <c r="J282" i="62"/>
  <c r="K282" i="62" s="1"/>
  <c r="J268" i="62"/>
  <c r="K268" i="62" s="1"/>
  <c r="J266" i="62"/>
  <c r="K266" i="62" s="1"/>
  <c r="J264" i="62"/>
  <c r="K264" i="62" s="1"/>
  <c r="J246" i="62"/>
  <c r="K246" i="62" s="1"/>
  <c r="J241" i="62"/>
  <c r="K241" i="62" s="1"/>
  <c r="J237" i="62"/>
  <c r="K237" i="62" s="1"/>
  <c r="J234" i="62"/>
  <c r="K234" i="62" s="1"/>
  <c r="J231" i="62"/>
  <c r="J281" i="62"/>
  <c r="K281" i="62" s="1"/>
  <c r="J276" i="62"/>
  <c r="K276" i="62" s="1"/>
  <c r="J271" i="62"/>
  <c r="K271" i="62" s="1"/>
  <c r="J257" i="62"/>
  <c r="K257" i="62" s="1"/>
  <c r="J245" i="62"/>
  <c r="K245" i="62" s="1"/>
  <c r="J235" i="62"/>
  <c r="K235" i="62" s="1"/>
  <c r="J289" i="62"/>
  <c r="K289" i="62" s="1"/>
  <c r="J283" i="62"/>
  <c r="K283" i="62" s="1"/>
  <c r="J279" i="62"/>
  <c r="K279" i="62" s="1"/>
  <c r="J267" i="62"/>
  <c r="K267" i="62" s="1"/>
  <c r="J265" i="62"/>
  <c r="K265" i="62" s="1"/>
  <c r="J262" i="62"/>
  <c r="K262" i="62" s="1"/>
  <c r="J242" i="62"/>
  <c r="K242" i="62" s="1"/>
  <c r="J239" i="62"/>
  <c r="K239" i="62" s="1"/>
  <c r="J236" i="62"/>
  <c r="K236" i="62" s="1"/>
  <c r="J233" i="62"/>
  <c r="K233" i="62" s="1"/>
  <c r="J291" i="62"/>
  <c r="K291" i="62" s="1"/>
  <c r="J277" i="62"/>
  <c r="K277" i="62" s="1"/>
  <c r="J274" i="62"/>
  <c r="K274" i="62" s="1"/>
  <c r="J260" i="62"/>
  <c r="K260" i="62" s="1"/>
  <c r="J252" i="62"/>
  <c r="K252" i="62" s="1"/>
  <c r="J244" i="62"/>
  <c r="K244" i="62" s="1"/>
  <c r="J209" i="62"/>
  <c r="K209" i="62" s="1"/>
  <c r="J181" i="62"/>
  <c r="K181" i="62" s="1"/>
  <c r="J195" i="62"/>
  <c r="K195" i="62" s="1"/>
  <c r="J206" i="62"/>
  <c r="K206" i="62" s="1"/>
  <c r="J208" i="62"/>
  <c r="K208" i="62" s="1"/>
  <c r="J215" i="62"/>
  <c r="K215" i="62" s="1"/>
  <c r="J219" i="62"/>
  <c r="K219" i="62" s="1"/>
  <c r="J217" i="62"/>
  <c r="K217" i="62" s="1"/>
  <c r="J213" i="62"/>
  <c r="K213" i="62" s="1"/>
  <c r="J204" i="62"/>
  <c r="K204" i="62" s="1"/>
  <c r="J200" i="62"/>
  <c r="K200" i="62" s="1"/>
  <c r="J196" i="62"/>
  <c r="K196" i="62" s="1"/>
  <c r="J193" i="62"/>
  <c r="K193" i="62" s="1"/>
  <c r="J185" i="62"/>
  <c r="K185" i="62" s="1"/>
  <c r="J178" i="62"/>
  <c r="K178" i="62" s="1"/>
  <c r="J176" i="62"/>
  <c r="K176" i="62" s="1"/>
  <c r="J174" i="62"/>
  <c r="J189" i="62"/>
  <c r="K189" i="62" s="1"/>
  <c r="J191" i="62"/>
  <c r="K191" i="62" s="1"/>
  <c r="J203" i="62"/>
  <c r="K203" i="62" s="1"/>
  <c r="J180" i="62"/>
  <c r="K180" i="62" s="1"/>
  <c r="J182" i="62"/>
  <c r="K182" i="62" s="1"/>
  <c r="J207" i="62"/>
  <c r="K207" i="62" s="1"/>
  <c r="J222" i="62"/>
  <c r="K222" i="62" s="1"/>
  <c r="J220" i="62"/>
  <c r="K220" i="62" s="1"/>
  <c r="J218" i="62"/>
  <c r="K218" i="62" s="1"/>
  <c r="J214" i="62"/>
  <c r="K214" i="62" s="1"/>
  <c r="J212" i="62"/>
  <c r="K212" i="62" s="1"/>
  <c r="J202" i="62"/>
  <c r="K202" i="62" s="1"/>
  <c r="J197" i="62"/>
  <c r="K197" i="62" s="1"/>
  <c r="J194" i="62"/>
  <c r="K194" i="62" s="1"/>
  <c r="J186" i="62"/>
  <c r="K186" i="62" s="1"/>
  <c r="J183" i="62"/>
  <c r="K183" i="62" s="1"/>
  <c r="J177" i="62"/>
  <c r="K177" i="62" s="1"/>
  <c r="J175" i="62"/>
  <c r="K175" i="62" s="1"/>
  <c r="J188" i="62"/>
  <c r="K188" i="62" s="1"/>
  <c r="J190" i="62"/>
  <c r="K190" i="62" s="1"/>
  <c r="J173" i="62"/>
  <c r="K118" i="62"/>
  <c r="K173" i="62" s="1"/>
  <c r="J38" i="63" l="1"/>
  <c r="K38" i="63" s="1"/>
  <c r="J39" i="63"/>
  <c r="K39" i="63" s="1"/>
  <c r="J49" i="63"/>
  <c r="K49" i="63" s="1"/>
  <c r="J54" i="63"/>
  <c r="K54" i="63" s="1"/>
  <c r="J56" i="63"/>
  <c r="K56" i="63" s="1"/>
  <c r="J65" i="63"/>
  <c r="K65" i="63" s="1"/>
  <c r="J96" i="63"/>
  <c r="K96" i="63" s="1"/>
  <c r="J105" i="63"/>
  <c r="K105" i="63" s="1"/>
  <c r="J112" i="63"/>
  <c r="K112" i="63" s="1"/>
  <c r="J114" i="63"/>
  <c r="K114" i="63" s="1"/>
  <c r="J52" i="63"/>
  <c r="K52" i="63" s="1"/>
  <c r="J72" i="63"/>
  <c r="K72" i="63" s="1"/>
  <c r="J76" i="63"/>
  <c r="K76" i="63" s="1"/>
  <c r="J86" i="63"/>
  <c r="K86" i="63" s="1"/>
  <c r="J93" i="63"/>
  <c r="K93" i="63" s="1"/>
  <c r="J99" i="63"/>
  <c r="K99" i="63" s="1"/>
  <c r="J106" i="63"/>
  <c r="K106" i="63" s="1"/>
  <c r="J111" i="63"/>
  <c r="K111" i="63" s="1"/>
  <c r="J113" i="63"/>
  <c r="K113" i="63" s="1"/>
  <c r="J115" i="63"/>
  <c r="K115" i="63" s="1"/>
  <c r="J42" i="63"/>
  <c r="J50" i="63"/>
  <c r="K50" i="63" s="1"/>
  <c r="J55" i="63"/>
  <c r="K55" i="63" s="1"/>
  <c r="J62" i="63"/>
  <c r="K62" i="63" s="1"/>
  <c r="J80" i="63"/>
  <c r="K80" i="63" s="1"/>
  <c r="J45" i="63"/>
  <c r="K45" i="63" s="1"/>
  <c r="J69" i="63"/>
  <c r="K69" i="63" s="1"/>
  <c r="J75" i="63"/>
  <c r="K75" i="63" s="1"/>
  <c r="J77" i="63"/>
  <c r="K77" i="63" s="1"/>
  <c r="J92" i="63"/>
  <c r="K92" i="63" s="1"/>
  <c r="J98" i="63"/>
  <c r="K98" i="63" s="1"/>
  <c r="J226" i="62"/>
  <c r="K174" i="62"/>
  <c r="K226" i="62" s="1"/>
  <c r="J292" i="62"/>
  <c r="K231" i="62"/>
  <c r="K292" i="62" s="1"/>
  <c r="J38" i="62"/>
  <c r="J39" i="62"/>
  <c r="J94" i="62"/>
  <c r="K94" i="62" s="1"/>
  <c r="J43" i="62"/>
  <c r="J48" i="62"/>
  <c r="K48" i="62" s="1"/>
  <c r="J57" i="62"/>
  <c r="K57" i="62" s="1"/>
  <c r="J59" i="62"/>
  <c r="K59" i="62" s="1"/>
  <c r="J63" i="62"/>
  <c r="K63" i="62" s="1"/>
  <c r="J70" i="62"/>
  <c r="K70" i="62" s="1"/>
  <c r="J87" i="62"/>
  <c r="K87" i="62" s="1"/>
  <c r="J100" i="62"/>
  <c r="K100" i="62" s="1"/>
  <c r="J102" i="62"/>
  <c r="K102" i="62" s="1"/>
  <c r="J104" i="62"/>
  <c r="K104" i="62" s="1"/>
  <c r="J108" i="62"/>
  <c r="K108" i="62" s="1"/>
  <c r="J44" i="62"/>
  <c r="K44" i="62" s="1"/>
  <c r="J53" i="62"/>
  <c r="K53" i="62" s="1"/>
  <c r="J66" i="62"/>
  <c r="K66" i="62" s="1"/>
  <c r="J68" i="62"/>
  <c r="K68" i="62" s="1"/>
  <c r="J74" i="62"/>
  <c r="K74" i="62" s="1"/>
  <c r="J79" i="62"/>
  <c r="K79" i="62" s="1"/>
  <c r="J82" i="62"/>
  <c r="K82" i="62" s="1"/>
  <c r="J83" i="62"/>
  <c r="K83" i="62" s="1"/>
  <c r="J85" i="62"/>
  <c r="K85" i="62" s="1"/>
  <c r="J89" i="62"/>
  <c r="K89" i="62" s="1"/>
  <c r="J91" i="62"/>
  <c r="K91" i="62" s="1"/>
  <c r="J110" i="62"/>
  <c r="K110" i="62" s="1"/>
  <c r="J46" i="62"/>
  <c r="K46" i="62" s="1"/>
  <c r="J51" i="62"/>
  <c r="K51" i="62" s="1"/>
  <c r="J58" i="62"/>
  <c r="K58" i="62" s="1"/>
  <c r="J60" i="62"/>
  <c r="K60" i="62" s="1"/>
  <c r="J64" i="62"/>
  <c r="K64" i="62" s="1"/>
  <c r="J71" i="62"/>
  <c r="K71" i="62" s="1"/>
  <c r="J95" i="62"/>
  <c r="K95" i="62" s="1"/>
  <c r="J101" i="62"/>
  <c r="K101" i="62" s="1"/>
  <c r="J103" i="62"/>
  <c r="K103" i="62" s="1"/>
  <c r="J107" i="62"/>
  <c r="K107" i="62" s="1"/>
  <c r="J109" i="62"/>
  <c r="K109" i="62" s="1"/>
  <c r="J47" i="62"/>
  <c r="K47" i="62" s="1"/>
  <c r="J61" i="62"/>
  <c r="K61" i="62" s="1"/>
  <c r="J67" i="62"/>
  <c r="K67" i="62" s="1"/>
  <c r="J73" i="62"/>
  <c r="K73" i="62" s="1"/>
  <c r="J78" i="62"/>
  <c r="K78" i="62" s="1"/>
  <c r="J81" i="62"/>
  <c r="K81" i="62" s="1"/>
  <c r="J84" i="62"/>
  <c r="K84" i="62" s="1"/>
  <c r="J88" i="62"/>
  <c r="K88" i="62" s="1"/>
  <c r="J90" i="62"/>
  <c r="K90" i="62" s="1"/>
  <c r="J116" i="63" l="1"/>
  <c r="J293" i="63" s="1"/>
  <c r="K42" i="63"/>
  <c r="K116" i="63" s="1"/>
  <c r="J116" i="62"/>
  <c r="J293" i="62" s="1"/>
  <c r="K43" i="62"/>
  <c r="K116" i="62" s="1"/>
  <c r="K293" i="63" l="1"/>
  <c r="K293" i="62"/>
</calcChain>
</file>

<file path=xl/comments1.xml><?xml version="1.0" encoding="utf-8"?>
<comments xmlns="http://schemas.openxmlformats.org/spreadsheetml/2006/main">
  <authors>
    <author>Автор</author>
  </authors>
  <commentList>
    <comment ref="C1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с декабря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2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есть ключ</t>
        </r>
      </text>
    </comment>
    <comment ref="B2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Принесли ключ от тамбура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1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ГЖФ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1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счетчик с декабря21</t>
        </r>
      </text>
    </comment>
    <comment ref="F1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Акулова Людмила &lt;lusiak757@yandex.ru&gt;
</t>
        </r>
        <r>
          <rPr>
            <b/>
            <sz val="9"/>
            <color indexed="81"/>
            <rFont val="Tahoma"/>
            <family val="2"/>
            <charset val="204"/>
          </rPr>
          <t>на 16.02.22</t>
        </r>
      </text>
    </comment>
    <comment ref="G1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Акулова Людмила &lt;lusiak757@yandex.ru&gt;
</t>
        </r>
        <r>
          <rPr>
            <b/>
            <sz val="9"/>
            <color indexed="81"/>
            <rFont val="Tahoma"/>
            <family val="2"/>
            <charset val="204"/>
          </rPr>
          <t>на 16.02.22</t>
        </r>
      </text>
    </comment>
  </commentList>
</comments>
</file>

<file path=xl/sharedStrings.xml><?xml version="1.0" encoding="utf-8"?>
<sst xmlns="http://schemas.openxmlformats.org/spreadsheetml/2006/main" count="3498" uniqueCount="171">
  <si>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</si>
  <si>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</si>
  <si>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</si>
  <si>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</si>
  <si>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</si>
  <si>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</si>
  <si>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Отопление МОП, Гкал</t>
  </si>
  <si>
    <t>ООО Управляющая компания "СИРИУС"</t>
  </si>
  <si>
    <t>Общедомовые приборы  учета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</si>
  <si>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</si>
  <si>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</si>
  <si>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</si>
  <si>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Разница, Гкал</t>
  </si>
  <si>
    <t>Всего, Гкал</t>
  </si>
  <si>
    <t>Исп.  Съедина К.И.</t>
  </si>
  <si>
    <t xml:space="preserve"> Расчет показателей отопления в жилом доме по адресу: г. Белгород, ул. Костюкова д. 11в                                   </t>
  </si>
  <si>
    <t>квартиры 1 под. (1-74)</t>
  </si>
  <si>
    <t>квартиры 2 под. 75-130</t>
  </si>
  <si>
    <t>МОП 1 под.</t>
  </si>
  <si>
    <t>МОП 2 под.</t>
  </si>
  <si>
    <t>Квартиры+МОП 3 подъезд</t>
  </si>
  <si>
    <t>квартиры 3 под (131-182)</t>
  </si>
  <si>
    <t>МОП 3 под.</t>
  </si>
  <si>
    <t>Квартиры+МОП 4 подъезд</t>
  </si>
  <si>
    <t>квартиры 4 под (183-247)</t>
  </si>
  <si>
    <t>МОП 4 под.</t>
  </si>
  <si>
    <t>Итого по дому</t>
  </si>
  <si>
    <t>в т.ч.</t>
  </si>
  <si>
    <t xml:space="preserve">Квартиры </t>
  </si>
  <si>
    <t>ВКТ-7 сет.N  007. Зав.№00248507</t>
  </si>
  <si>
    <t>ВКТ-7 сет.N  094. Зав.№00242094</t>
  </si>
  <si>
    <t>ВКТ-7 сет.N  069. Зав.№00242069</t>
  </si>
  <si>
    <t>Справочно: 1 МВт = 0,8598 Гкал</t>
  </si>
  <si>
    <t>Разница, МВт</t>
  </si>
  <si>
    <t>№</t>
  </si>
  <si>
    <t>№ счетчика</t>
  </si>
  <si>
    <t>Mwh</t>
  </si>
  <si>
    <t>оф. 1</t>
  </si>
  <si>
    <t>оф. 2</t>
  </si>
  <si>
    <t>оф. 3</t>
  </si>
  <si>
    <t>оф. 4</t>
  </si>
  <si>
    <t>оф. 5</t>
  </si>
  <si>
    <t>оф. 6</t>
  </si>
  <si>
    <t>оф. 7</t>
  </si>
  <si>
    <t>оф. 8</t>
  </si>
  <si>
    <t>оф. 9</t>
  </si>
  <si>
    <t>оф. 10</t>
  </si>
  <si>
    <t>оф. 11</t>
  </si>
  <si>
    <t>оф. 12</t>
  </si>
  <si>
    <t>оф. 13</t>
  </si>
  <si>
    <t>оф. 14</t>
  </si>
  <si>
    <t>оф. 15</t>
  </si>
  <si>
    <t>Справочно: 1 кВт = 0,00086 Гкал</t>
  </si>
  <si>
    <t xml:space="preserve">Разница </t>
  </si>
  <si>
    <t>Гкал</t>
  </si>
  <si>
    <t>Межповерочный интервал</t>
  </si>
  <si>
    <t>О1797619 Гкал</t>
  </si>
  <si>
    <t>О1733419 Гкал</t>
  </si>
  <si>
    <t>19110703 Гкал</t>
  </si>
  <si>
    <t>нет паспорта</t>
  </si>
  <si>
    <t>19-2407717 Гкал</t>
  </si>
  <si>
    <t>Офисы</t>
  </si>
  <si>
    <t>дата поверки</t>
  </si>
  <si>
    <t>1 подъезд (квартиры+МОП) :</t>
  </si>
  <si>
    <t>Справочно:</t>
  </si>
  <si>
    <t>Площадь Квартир (общая)</t>
  </si>
  <si>
    <t xml:space="preserve">Квартиры со счетчиками </t>
  </si>
  <si>
    <t>Площадь квартир с неисправными счетчиками и отсутствием показанй</t>
  </si>
  <si>
    <t>2 подъезд (квартиры+МОП) :</t>
  </si>
  <si>
    <t>ИПУ</t>
  </si>
  <si>
    <t>O1410815 Гкал</t>
  </si>
  <si>
    <t>КВ.М.</t>
  </si>
  <si>
    <t>О1512915 Гкал</t>
  </si>
  <si>
    <t>Площадь 1 подъезда</t>
  </si>
  <si>
    <t>Итого по 1 подъезду:</t>
  </si>
  <si>
    <t>Площадь 2 подъезда</t>
  </si>
  <si>
    <t>Итого по 2 подъезду:</t>
  </si>
  <si>
    <t>34242387 Гкал</t>
  </si>
  <si>
    <t>Площадь 3 подъезда</t>
  </si>
  <si>
    <t>Итого по 3 подъезду:</t>
  </si>
  <si>
    <t>19-241090 Гкал</t>
  </si>
  <si>
    <t>Площадь 4 подъезда</t>
  </si>
  <si>
    <t>Итого по 4 подъезду:</t>
  </si>
  <si>
    <t>Квартиры с расчетом по нормативу потребления (отсутсвие показаний)</t>
  </si>
  <si>
    <t xml:space="preserve">Площадь квартир с исправными счетчиками </t>
  </si>
  <si>
    <t>Площадь квартир по среднему за 6 месяцев</t>
  </si>
  <si>
    <t>Квартиры с расчетом по среднему за 6 месяцев</t>
  </si>
  <si>
    <t>Начисленно по расчету (ПП 354 от 06.05.11, п.59,п.60)</t>
  </si>
  <si>
    <t>20202880 Гкал</t>
  </si>
  <si>
    <t>О1745415 Гкал</t>
  </si>
  <si>
    <t>ВКТ-7 сет.N  028. Зав.№00248528</t>
  </si>
  <si>
    <t>915044424 Гкал</t>
  </si>
  <si>
    <t>1746915 Гкал</t>
  </si>
  <si>
    <t>2015513244 Гкал</t>
  </si>
  <si>
    <t>1742515 Гкал</t>
  </si>
  <si>
    <t>1422315 Гкал</t>
  </si>
  <si>
    <t>O1644119 Гкал</t>
  </si>
  <si>
    <t>19111232 Гкал</t>
  </si>
  <si>
    <t>20203882 Гкал</t>
  </si>
  <si>
    <t>20203997 Гкал</t>
  </si>
  <si>
    <t>нет на сайте</t>
  </si>
  <si>
    <t>21008285 Гкал</t>
  </si>
  <si>
    <t>01938519 Гкал</t>
  </si>
  <si>
    <t>20200096 Гкал</t>
  </si>
  <si>
    <t>01604719 Гкал</t>
  </si>
  <si>
    <t>211551040 Гкал</t>
  </si>
  <si>
    <t>Показания МВт на 25.12.21</t>
  </si>
  <si>
    <t>31462921 Гкал</t>
  </si>
  <si>
    <t>01735919 Гкал</t>
  </si>
  <si>
    <t>01537619 Гкал</t>
  </si>
  <si>
    <t>07229119 Гкал</t>
  </si>
  <si>
    <t>31631521 Гкал</t>
  </si>
  <si>
    <t>2115522055 Гкал</t>
  </si>
  <si>
    <t>90040064 Гкал</t>
  </si>
  <si>
    <t>31610921 Гкал</t>
  </si>
  <si>
    <t>900440063 Гкал</t>
  </si>
  <si>
    <t>25.12.21</t>
  </si>
  <si>
    <t>за период с  26.12.21 по 25.01.22 гг.</t>
  </si>
  <si>
    <t>Разница, Гкал                   с 26.12.21 по 25.01.22 гг.</t>
  </si>
  <si>
    <t>Показания МВт на 25.01.22</t>
  </si>
  <si>
    <t>снят</t>
  </si>
  <si>
    <t>25.01.22</t>
  </si>
  <si>
    <t>за период с  26.01.22 по 23.02.22 гг.</t>
  </si>
  <si>
    <t>Разница, Гкал                   с 26.01.22 по 23.02.22 гг.</t>
  </si>
  <si>
    <t>Показания МВт на 23.02.22</t>
  </si>
  <si>
    <t>23.02.22</t>
  </si>
  <si>
    <t>за период с  24.02.22 по 23.03.22 гг.</t>
  </si>
  <si>
    <t>Разница, Гкал                   с 24.02.22 по 23.03.22 гг.</t>
  </si>
  <si>
    <t>Показания МВт на 23.03.22</t>
  </si>
  <si>
    <t>23.03.22</t>
  </si>
  <si>
    <t>за период с  24.03.22 по 25.04.22 гг.</t>
  </si>
  <si>
    <t>Разница, Гкал                   с 24.03.22 по 25.04.22 гг.</t>
  </si>
  <si>
    <t>Показания МВт на 25.04.22</t>
  </si>
  <si>
    <t>21-134071 Гкал</t>
  </si>
  <si>
    <t>0729119 Гкал</t>
  </si>
  <si>
    <t>25.04.22</t>
  </si>
  <si>
    <t>за период с  25.04.22 по 26.09.22 гг.</t>
  </si>
  <si>
    <t>Разница, Гкал                   с 25.04.22 по 26.09.22 гг.</t>
  </si>
  <si>
    <t>Показания МВт на 26.09.22</t>
  </si>
  <si>
    <t>2215012119 Гкал</t>
  </si>
  <si>
    <t>21-134269 Гкал</t>
  </si>
  <si>
    <t>2115009856 Гкал</t>
  </si>
  <si>
    <t>2215014088 Гкал</t>
  </si>
  <si>
    <t>90054866 Гкал</t>
  </si>
  <si>
    <t>74572521 Гкал</t>
  </si>
  <si>
    <t>21-134271 Гкал</t>
  </si>
  <si>
    <t>2215014078 Гкал</t>
  </si>
  <si>
    <t xml:space="preserve">нет паспорта </t>
  </si>
  <si>
    <t>2115009859 Гкал</t>
  </si>
  <si>
    <t>снят 14.09</t>
  </si>
  <si>
    <t>стят 13.09</t>
  </si>
  <si>
    <t>31829221 Гкал</t>
  </si>
  <si>
    <t>снят 15/09</t>
  </si>
  <si>
    <t>26.09.22</t>
  </si>
  <si>
    <t>за период с  26.09.22 по 23.10.22 гг.</t>
  </si>
  <si>
    <t>Разница, Гкал                   с 26.09.22 по 23.10.22 гг.</t>
  </si>
  <si>
    <t>Показания МВт на 23.10.22</t>
  </si>
  <si>
    <t>21215472 Гкал</t>
  </si>
  <si>
    <t>23.10.22</t>
  </si>
  <si>
    <t>01367326</t>
  </si>
  <si>
    <t>за период с  24.10.22 по 23.11.22 гг.</t>
  </si>
  <si>
    <t>Разница, Гкал                   с 24.10.22 по 23.11.22 гг.</t>
  </si>
  <si>
    <t>Показания МВт на 21.11.22</t>
  </si>
  <si>
    <t>21215471 Гкал</t>
  </si>
  <si>
    <t>21.11.22</t>
  </si>
  <si>
    <t>за период с  24.11.22 по 23.12.22 гг.</t>
  </si>
  <si>
    <t>Разница, Гкал                   с 24.11.22 по 23.12.22 гг.</t>
  </si>
  <si>
    <t>Единица измерения</t>
  </si>
  <si>
    <t>Показания МВт на 21.12.22</t>
  </si>
  <si>
    <t>МВт</t>
  </si>
  <si>
    <t>21.12.22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</si>
</sst>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"/>
    <numFmt numFmtId="166" formatCode="0.0000"/>
    <numFmt numFmtId="167" formatCode="#,##0.0"/>
    <numFmt numFmtId="168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165" fontId="1" fillId="0" borderId="0" xfId="0" applyNumberFormat="1" applyFont="1" applyFill="1"/>
    <xf numFmtId="1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/>
    <xf numFmtId="3" fontId="3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2" fontId="1" fillId="0" borderId="0" xfId="0" applyNumberFormat="1" applyFont="1" applyFill="1"/>
    <xf numFmtId="0" fontId="8" fillId="0" borderId="0" xfId="0" applyFont="1" applyFill="1" applyAlignment="1">
      <alignment vertical="top" wrapText="1"/>
    </xf>
    <xf numFmtId="0" fontId="1" fillId="0" borderId="11" xfId="0" applyFont="1" applyFill="1" applyBorder="1"/>
    <xf numFmtId="166" fontId="1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6" fontId="1" fillId="0" borderId="12" xfId="0" applyNumberFormat="1" applyFont="1" applyFill="1" applyBorder="1"/>
    <xf numFmtId="164" fontId="4" fillId="0" borderId="9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1" fillId="0" borderId="1" xfId="0" applyNumberFormat="1" applyFont="1" applyFill="1" applyBorder="1"/>
    <xf numFmtId="164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4" fontId="11" fillId="0" borderId="1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/>
    <xf numFmtId="0" fontId="2" fillId="0" borderId="1" xfId="0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164" fontId="11" fillId="0" borderId="14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 wrapText="1"/>
    </xf>
    <xf numFmtId="164" fontId="11" fillId="0" borderId="33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/>
    <xf numFmtId="0" fontId="9" fillId="0" borderId="1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/>
    <xf numFmtId="0" fontId="2" fillId="0" borderId="2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8" fontId="11" fillId="0" borderId="1" xfId="0" applyNumberFormat="1" applyFont="1" applyFill="1" applyBorder="1" applyAlignment="1">
      <alignment vertical="center" wrapText="1"/>
    </xf>
    <xf numFmtId="0" fontId="4" fillId="0" borderId="11" xfId="0" applyFont="1" applyFill="1" applyBorder="1"/>
    <xf numFmtId="166" fontId="1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4" fontId="11" fillId="0" borderId="17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166" fontId="4" fillId="0" borderId="36" xfId="0" applyNumberFormat="1" applyFont="1" applyFill="1" applyBorder="1"/>
    <xf numFmtId="164" fontId="4" fillId="0" borderId="12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14" fontId="2" fillId="0" borderId="1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66" fontId="1" fillId="0" borderId="11" xfId="0" applyNumberFormat="1" applyFont="1" applyFill="1" applyBorder="1"/>
    <xf numFmtId="0" fontId="11" fillId="0" borderId="36" xfId="0" applyFont="1" applyFill="1" applyBorder="1" applyAlignment="1">
      <alignment horizontal="center" vertical="center" wrapText="1"/>
    </xf>
    <xf numFmtId="166" fontId="4" fillId="0" borderId="37" xfId="0" applyNumberFormat="1" applyFont="1" applyFill="1" applyBorder="1"/>
    <xf numFmtId="3" fontId="1" fillId="0" borderId="0" xfId="0" applyNumberFormat="1" applyFont="1" applyFill="1" applyAlignment="1">
      <alignment horizontal="center"/>
    </xf>
    <xf numFmtId="166" fontId="1" fillId="0" borderId="10" xfId="0" applyNumberFormat="1" applyFont="1" applyFill="1" applyBorder="1"/>
    <xf numFmtId="166" fontId="1" fillId="0" borderId="38" xfId="0" applyNumberFormat="1" applyFont="1" applyFill="1" applyBorder="1"/>
    <xf numFmtId="167" fontId="4" fillId="0" borderId="12" xfId="0" applyNumberFormat="1" applyFont="1" applyFill="1" applyBorder="1"/>
    <xf numFmtId="164" fontId="15" fillId="0" borderId="0" xfId="0" applyNumberFormat="1" applyFont="1" applyFill="1"/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0" xfId="0" applyFont="1" applyFill="1" applyAlignment="1"/>
    <xf numFmtId="14" fontId="2" fillId="0" borderId="12" xfId="0" applyNumberFormat="1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right"/>
    </xf>
    <xf numFmtId="0" fontId="15" fillId="0" borderId="12" xfId="0" applyFont="1" applyFill="1" applyBorder="1" applyAlignment="1">
      <alignment horizontal="center"/>
    </xf>
    <xf numFmtId="167" fontId="1" fillId="0" borderId="0" xfId="0" applyNumberFormat="1" applyFont="1" applyFill="1"/>
    <xf numFmtId="167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/>
    <xf numFmtId="0" fontId="4" fillId="0" borderId="16" xfId="0" applyFont="1" applyFill="1" applyBorder="1" applyAlignment="1">
      <alignment horizontal="right"/>
    </xf>
    <xf numFmtId="14" fontId="2" fillId="0" borderId="11" xfId="0" applyNumberFormat="1" applyFont="1" applyFill="1" applyBorder="1"/>
    <xf numFmtId="166" fontId="1" fillId="0" borderId="11" xfId="0" applyNumberFormat="1" applyFont="1" applyFill="1" applyBorder="1" applyAlignment="1">
      <alignment horizontal="center"/>
    </xf>
    <xf numFmtId="14" fontId="2" fillId="0" borderId="12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/>
    </xf>
    <xf numFmtId="0" fontId="1" fillId="0" borderId="48" xfId="0" applyFont="1" applyFill="1" applyBorder="1"/>
    <xf numFmtId="14" fontId="2" fillId="0" borderId="48" xfId="0" applyNumberFormat="1" applyFont="1" applyFill="1" applyBorder="1"/>
    <xf numFmtId="166" fontId="1" fillId="0" borderId="48" xfId="0" applyNumberFormat="1" applyFont="1" applyFill="1" applyBorder="1" applyAlignment="1">
      <alignment horizontal="center"/>
    </xf>
    <xf numFmtId="164" fontId="1" fillId="0" borderId="48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/>
    <xf numFmtId="14" fontId="2" fillId="0" borderId="11" xfId="0" applyNumberFormat="1" applyFont="1" applyFill="1" applyBorder="1" applyAlignment="1"/>
    <xf numFmtId="0" fontId="2" fillId="0" borderId="48" xfId="0" applyFont="1" applyFill="1" applyBorder="1" applyAlignment="1">
      <alignment horizontal="center" vertical="center" wrapText="1"/>
    </xf>
    <xf numFmtId="166" fontId="1" fillId="0" borderId="48" xfId="0" applyNumberFormat="1" applyFont="1" applyFill="1" applyBorder="1"/>
    <xf numFmtId="0" fontId="11" fillId="0" borderId="16" xfId="0" applyFont="1" applyFill="1" applyBorder="1" applyAlignment="1">
      <alignment horizontal="center" vertical="center" wrapText="1"/>
    </xf>
    <xf numFmtId="166" fontId="4" fillId="0" borderId="16" xfId="0" applyNumberFormat="1" applyFont="1" applyFill="1" applyBorder="1"/>
    <xf numFmtId="166" fontId="4" fillId="0" borderId="50" xfId="0" applyNumberFormat="1" applyFont="1" applyFill="1" applyBorder="1"/>
    <xf numFmtId="0" fontId="3" fillId="0" borderId="11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164" fontId="4" fillId="0" borderId="36" xfId="0" applyNumberFormat="1" applyFont="1" applyFill="1" applyBorder="1" applyAlignment="1">
      <alignment horizontal="right"/>
    </xf>
    <xf numFmtId="0" fontId="15" fillId="0" borderId="12" xfId="0" applyFont="1" applyFill="1" applyBorder="1" applyAlignment="1">
      <alignment horizontal="center"/>
    </xf>
    <xf numFmtId="164" fontId="11" fillId="0" borderId="20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" fontId="3" fillId="0" borderId="38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2" fillId="0" borderId="10" xfId="0" applyFont="1" applyFill="1" applyBorder="1"/>
    <xf numFmtId="164" fontId="1" fillId="0" borderId="5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278" zoomScaleNormal="100" workbookViewId="0">
      <selection activeCell="J285" sqref="J285"/>
    </sheetView>
  </sheetViews>
  <sheetFormatPr defaultRowHeight="15" x14ac:dyDescent="0.25"/>
  <cols>
    <col min="1" max="1" width="6.42578125" style="2" customWidth="1"/>
    <col min="2" max="2" width="16" style="2" customWidth="1"/>
    <col min="3" max="3" width="15" style="2" customWidth="1"/>
    <col min="4" max="4" width="9.5703125" style="2" customWidth="1"/>
    <col min="5" max="5" width="10.5703125" style="2" customWidth="1"/>
    <col min="6" max="8" width="10.28515625" style="2" customWidth="1"/>
    <col min="9" max="9" width="12.28515625" style="2" customWidth="1"/>
    <col min="10" max="10" width="11.28515625" style="62" customWidth="1"/>
    <col min="11" max="11" width="9.42578125" style="62" customWidth="1"/>
    <col min="12" max="12" width="2.140625" style="2" customWidth="1"/>
    <col min="13" max="13" width="26" style="2" customWidth="1"/>
    <col min="14" max="14" width="9.5703125" style="2" bestFit="1" customWidth="1"/>
    <col min="15" max="16384" width="9.140625" style="2"/>
  </cols>
  <sheetData>
    <row r="1" spans="1:13" ht="20.25" x14ac:dyDescent="0.3">
      <c r="A1" s="255" t="s">
        <v>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4.45" customHeight="1" x14ac:dyDescent="0.3">
      <c r="A2" s="121"/>
      <c r="B2" s="121"/>
      <c r="C2" s="121"/>
      <c r="D2" s="121"/>
      <c r="E2" s="121"/>
      <c r="F2" s="121"/>
      <c r="G2" s="121"/>
      <c r="H2" s="121"/>
      <c r="I2" s="121"/>
      <c r="J2" s="60"/>
      <c r="K2" s="60"/>
      <c r="L2" s="121"/>
      <c r="M2" s="121"/>
    </row>
    <row r="3" spans="1:13" ht="18.75" x14ac:dyDescent="0.25">
      <c r="A3" s="256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8.75" x14ac:dyDescent="0.25">
      <c r="A4" s="256" t="s">
        <v>117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ht="17.4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ht="16.149999999999999" customHeight="1" x14ac:dyDescent="0.25">
      <c r="A6" s="237" t="s">
        <v>8</v>
      </c>
      <c r="B6" s="238"/>
      <c r="C6" s="238"/>
      <c r="D6" s="238"/>
      <c r="E6" s="238"/>
      <c r="F6" s="238"/>
      <c r="G6" s="238"/>
      <c r="H6" s="238"/>
      <c r="I6" s="238"/>
      <c r="J6" s="239"/>
      <c r="K6" s="111"/>
      <c r="L6" s="75" t="s">
        <v>10</v>
      </c>
      <c r="M6" s="211" t="s">
        <v>11</v>
      </c>
    </row>
    <row r="7" spans="1:13" ht="37.9" customHeight="1" thickBot="1" x14ac:dyDescent="0.3">
      <c r="A7" s="258" t="s">
        <v>4</v>
      </c>
      <c r="B7" s="258"/>
      <c r="C7" s="258"/>
      <c r="D7" s="258"/>
      <c r="E7" s="258"/>
      <c r="F7" s="244" t="s">
        <v>5</v>
      </c>
      <c r="G7" s="245"/>
      <c r="H7" s="245"/>
      <c r="I7" s="54"/>
      <c r="J7" s="120" t="s">
        <v>118</v>
      </c>
      <c r="K7" s="106"/>
      <c r="L7" s="75"/>
      <c r="M7" s="257"/>
    </row>
    <row r="8" spans="1:13" ht="27" customHeight="1" thickBot="1" x14ac:dyDescent="0.3">
      <c r="A8" s="259" t="s">
        <v>29</v>
      </c>
      <c r="B8" s="260"/>
      <c r="C8" s="261"/>
      <c r="D8" s="261"/>
      <c r="E8" s="261"/>
      <c r="F8" s="262" t="s">
        <v>63</v>
      </c>
      <c r="G8" s="263"/>
      <c r="H8" s="264"/>
      <c r="I8" s="107"/>
      <c r="J8" s="50">
        <v>107.07</v>
      </c>
      <c r="K8" s="76"/>
      <c r="L8" s="75"/>
      <c r="M8" s="257"/>
    </row>
    <row r="9" spans="1:13" ht="13.9" customHeight="1" x14ac:dyDescent="0.25">
      <c r="A9" s="247"/>
      <c r="B9" s="262" t="s">
        <v>64</v>
      </c>
      <c r="C9" s="263"/>
      <c r="D9" s="263"/>
      <c r="E9" s="264"/>
      <c r="F9" s="268" t="s">
        <v>16</v>
      </c>
      <c r="G9" s="269"/>
      <c r="H9" s="270"/>
      <c r="I9" s="108"/>
      <c r="J9" s="43">
        <f>J13+J12+J14</f>
        <v>95.813202128571447</v>
      </c>
      <c r="K9" s="77"/>
      <c r="L9" s="75"/>
      <c r="M9" s="257"/>
    </row>
    <row r="10" spans="1:13" ht="13.9" customHeight="1" x14ac:dyDescent="0.25">
      <c r="A10" s="229"/>
      <c r="B10" s="265"/>
      <c r="C10" s="266"/>
      <c r="D10" s="266"/>
      <c r="E10" s="267"/>
      <c r="F10" s="237" t="s">
        <v>18</v>
      </c>
      <c r="G10" s="238"/>
      <c r="H10" s="239"/>
      <c r="I10" s="109"/>
      <c r="J10" s="31">
        <f>J8-J13-J12-J14</f>
        <v>11.256797871428546</v>
      </c>
      <c r="K10" s="77"/>
      <c r="L10" s="75"/>
      <c r="M10" s="212"/>
    </row>
    <row r="11" spans="1:13" ht="13.9" customHeight="1" x14ac:dyDescent="0.25">
      <c r="A11" s="229"/>
      <c r="B11" s="240" t="s">
        <v>65</v>
      </c>
      <c r="C11" s="241"/>
      <c r="D11" s="241"/>
      <c r="E11" s="55">
        <f>D116</f>
        <v>5338.7000000000025</v>
      </c>
      <c r="F11" s="234"/>
      <c r="G11" s="235"/>
      <c r="H11" s="235"/>
      <c r="I11" s="235"/>
      <c r="J11" s="236"/>
      <c r="K11" s="77"/>
      <c r="L11" s="75"/>
      <c r="M11" s="41"/>
    </row>
    <row r="12" spans="1:13" ht="25.5" customHeight="1" x14ac:dyDescent="0.25">
      <c r="A12" s="229"/>
      <c r="B12" s="240" t="s">
        <v>67</v>
      </c>
      <c r="C12" s="241"/>
      <c r="D12" s="271"/>
      <c r="E12" s="56">
        <f>SUM(D42,D45,D49:D50,D52,D54:D56,D62,D65,D69,D72,D75:D77,D80,D86,D92:D93,D96:D99,D105:D106,D111:D115)</f>
        <v>2113.4</v>
      </c>
      <c r="F12" s="237" t="s">
        <v>83</v>
      </c>
      <c r="G12" s="238"/>
      <c r="H12" s="239"/>
      <c r="I12" s="114"/>
      <c r="J12" s="7">
        <f>I116</f>
        <v>54.344571428571427</v>
      </c>
      <c r="K12" s="77"/>
      <c r="L12" s="75"/>
      <c r="M12" s="44"/>
    </row>
    <row r="13" spans="1:13" ht="25.5" customHeight="1" x14ac:dyDescent="0.25">
      <c r="A13" s="229"/>
      <c r="B13" s="240" t="s">
        <v>84</v>
      </c>
      <c r="C13" s="241"/>
      <c r="D13" s="241"/>
      <c r="E13" s="56">
        <f>SUM(D43:D44,D46:D48,D51,D53,D57:D61,D63:D64,D66:D68,D70:D71,D73:D74,D78:D79,D81:D85,D87:D88,D89:D91,D94:D95,D100:D104,D107:D110)</f>
        <v>3225.3</v>
      </c>
      <c r="F13" s="237" t="s">
        <v>66</v>
      </c>
      <c r="G13" s="238"/>
      <c r="H13" s="239"/>
      <c r="I13" s="109"/>
      <c r="J13" s="7">
        <f>H116</f>
        <v>41.46863070000002</v>
      </c>
      <c r="K13" s="77"/>
      <c r="L13" s="75"/>
      <c r="M13" s="41"/>
    </row>
    <row r="14" spans="1:13" ht="25.5" customHeight="1" thickBot="1" x14ac:dyDescent="0.3">
      <c r="A14" s="230"/>
      <c r="B14" s="242" t="s">
        <v>85</v>
      </c>
      <c r="C14" s="243"/>
      <c r="D14" s="243"/>
      <c r="E14" s="57">
        <v>0</v>
      </c>
      <c r="F14" s="244" t="s">
        <v>86</v>
      </c>
      <c r="G14" s="245"/>
      <c r="H14" s="246"/>
      <c r="I14" s="110"/>
      <c r="J14" s="46">
        <v>0</v>
      </c>
      <c r="K14" s="77"/>
      <c r="L14" s="75"/>
      <c r="M14" s="41"/>
    </row>
    <row r="15" spans="1:13" ht="27.75" customHeight="1" thickBot="1" x14ac:dyDescent="0.3">
      <c r="A15" s="249" t="s">
        <v>90</v>
      </c>
      <c r="B15" s="250"/>
      <c r="C15" s="251"/>
      <c r="D15" s="251"/>
      <c r="E15" s="251"/>
      <c r="F15" s="252" t="s">
        <v>68</v>
      </c>
      <c r="G15" s="253"/>
      <c r="H15" s="254"/>
      <c r="I15" s="111"/>
      <c r="J15" s="118">
        <v>80.820999999999998</v>
      </c>
      <c r="K15" s="78"/>
      <c r="L15" s="75"/>
      <c r="M15" s="14"/>
    </row>
    <row r="16" spans="1:13" ht="13.9" customHeight="1" x14ac:dyDescent="0.25">
      <c r="A16" s="247"/>
      <c r="B16" s="248" t="s">
        <v>64</v>
      </c>
      <c r="C16" s="248"/>
      <c r="D16" s="248"/>
      <c r="E16" s="248"/>
      <c r="F16" s="248" t="s">
        <v>17</v>
      </c>
      <c r="G16" s="248"/>
      <c r="H16" s="248"/>
      <c r="I16" s="113"/>
      <c r="J16" s="43">
        <f>J20+J19+J21</f>
        <v>57.883304642857155</v>
      </c>
      <c r="K16" s="77"/>
      <c r="L16" s="75"/>
      <c r="M16" s="14" t="s">
        <v>52</v>
      </c>
    </row>
    <row r="17" spans="1:13" ht="13.9" customHeight="1" x14ac:dyDescent="0.25">
      <c r="A17" s="229"/>
      <c r="B17" s="232"/>
      <c r="C17" s="232"/>
      <c r="D17" s="232"/>
      <c r="E17" s="232"/>
      <c r="F17" s="232" t="s">
        <v>19</v>
      </c>
      <c r="G17" s="232"/>
      <c r="H17" s="232"/>
      <c r="I17" s="114"/>
      <c r="J17" s="31">
        <f>J15-J20-J19-J21</f>
        <v>22.937695357142843</v>
      </c>
      <c r="K17" s="77"/>
      <c r="L17" s="75"/>
      <c r="M17" s="14" t="s">
        <v>32</v>
      </c>
    </row>
    <row r="18" spans="1:13" ht="13.9" customHeight="1" x14ac:dyDescent="0.25">
      <c r="A18" s="229"/>
      <c r="B18" s="233" t="s">
        <v>65</v>
      </c>
      <c r="C18" s="233"/>
      <c r="D18" s="233"/>
      <c r="E18" s="55">
        <f>D173</f>
        <v>3918.9999999999991</v>
      </c>
      <c r="F18" s="234"/>
      <c r="G18" s="235"/>
      <c r="H18" s="235"/>
      <c r="I18" s="235"/>
      <c r="J18" s="236"/>
      <c r="K18" s="77"/>
      <c r="L18" s="75"/>
      <c r="M18" s="14"/>
    </row>
    <row r="19" spans="1:13" ht="29.25" customHeight="1" x14ac:dyDescent="0.25">
      <c r="A19" s="229"/>
      <c r="B19" s="233" t="s">
        <v>67</v>
      </c>
      <c r="C19" s="233"/>
      <c r="D19" s="233"/>
      <c r="E19" s="56">
        <f>SUM(D117,D122:D123,D126:D127,D129,D132,D137,D139,D147,D149,D158,D163:D164,D169:D170)</f>
        <v>1110.7000000000003</v>
      </c>
      <c r="F19" s="237" t="s">
        <v>83</v>
      </c>
      <c r="G19" s="238"/>
      <c r="H19" s="239"/>
      <c r="I19" s="114"/>
      <c r="J19" s="7">
        <f>I173</f>
        <v>28.560857142857145</v>
      </c>
      <c r="K19" s="77"/>
      <c r="L19" s="75"/>
      <c r="M19" s="14"/>
    </row>
    <row r="20" spans="1:13" ht="29.25" customHeight="1" x14ac:dyDescent="0.25">
      <c r="A20" s="229"/>
      <c r="B20" s="240" t="s">
        <v>84</v>
      </c>
      <c r="C20" s="241"/>
      <c r="D20" s="241"/>
      <c r="E20" s="56">
        <f>SUM(D118:D121,D124:D125,D128,D130:D131,D133:D136,D138,D140:D146,D148,D150:D157,D159:D162,D165:D168,D171:D172)</f>
        <v>2808.2999999999993</v>
      </c>
      <c r="F20" s="232" t="s">
        <v>66</v>
      </c>
      <c r="G20" s="232"/>
      <c r="H20" s="232"/>
      <c r="I20" s="114"/>
      <c r="J20" s="7">
        <f>H173</f>
        <v>29.32244750000001</v>
      </c>
      <c r="K20" s="77"/>
      <c r="L20" s="75"/>
      <c r="M20" s="14"/>
    </row>
    <row r="21" spans="1:13" ht="29.25" customHeight="1" thickBot="1" x14ac:dyDescent="0.3">
      <c r="A21" s="230"/>
      <c r="B21" s="242" t="s">
        <v>85</v>
      </c>
      <c r="C21" s="243"/>
      <c r="D21" s="243"/>
      <c r="E21" s="57">
        <v>0</v>
      </c>
      <c r="F21" s="244" t="s">
        <v>86</v>
      </c>
      <c r="G21" s="245"/>
      <c r="H21" s="246"/>
      <c r="I21" s="110"/>
      <c r="J21" s="46">
        <v>0</v>
      </c>
      <c r="K21" s="77"/>
      <c r="L21" s="75"/>
      <c r="M21" s="14"/>
    </row>
    <row r="22" spans="1:13" ht="24.75" customHeight="1" thickBot="1" x14ac:dyDescent="0.3">
      <c r="A22" s="226" t="s">
        <v>30</v>
      </c>
      <c r="B22" s="227"/>
      <c r="C22" s="227"/>
      <c r="D22" s="227"/>
      <c r="E22" s="227"/>
      <c r="F22" s="228" t="s">
        <v>20</v>
      </c>
      <c r="G22" s="228"/>
      <c r="H22" s="228"/>
      <c r="I22" s="112"/>
      <c r="J22" s="51">
        <v>79.236000000000004</v>
      </c>
      <c r="K22" s="78"/>
      <c r="L22" s="75"/>
      <c r="M22" s="11"/>
    </row>
    <row r="23" spans="1:13" ht="13.9" customHeight="1" x14ac:dyDescent="0.25">
      <c r="A23" s="247"/>
      <c r="B23" s="248" t="s">
        <v>64</v>
      </c>
      <c r="C23" s="248"/>
      <c r="D23" s="248"/>
      <c r="E23" s="248"/>
      <c r="F23" s="248" t="s">
        <v>21</v>
      </c>
      <c r="G23" s="248"/>
      <c r="H23" s="248"/>
      <c r="I23" s="113"/>
      <c r="J23" s="43">
        <f>J27+J26+J28</f>
        <v>53.574863400000012</v>
      </c>
      <c r="K23" s="77"/>
      <c r="L23" s="75"/>
      <c r="M23" s="3"/>
    </row>
    <row r="24" spans="1:13" ht="13.9" customHeight="1" x14ac:dyDescent="0.25">
      <c r="A24" s="229"/>
      <c r="B24" s="232"/>
      <c r="C24" s="232"/>
      <c r="D24" s="232"/>
      <c r="E24" s="232"/>
      <c r="F24" s="232" t="s">
        <v>22</v>
      </c>
      <c r="G24" s="232"/>
      <c r="H24" s="232"/>
      <c r="I24" s="114"/>
      <c r="J24" s="31">
        <f>J22-J27-J26-J28</f>
        <v>25.661136599999995</v>
      </c>
      <c r="K24" s="77"/>
      <c r="L24" s="75"/>
      <c r="M24" s="3"/>
    </row>
    <row r="25" spans="1:13" ht="13.9" customHeight="1" x14ac:dyDescent="0.25">
      <c r="A25" s="229"/>
      <c r="B25" s="233" t="s">
        <v>65</v>
      </c>
      <c r="C25" s="233"/>
      <c r="D25" s="233"/>
      <c r="E25" s="55">
        <f>D226</f>
        <v>3672.6000000000013</v>
      </c>
      <c r="F25" s="234"/>
      <c r="G25" s="235"/>
      <c r="H25" s="235"/>
      <c r="I25" s="235"/>
      <c r="J25" s="236"/>
      <c r="K25" s="77"/>
      <c r="L25" s="75"/>
      <c r="M25" s="3"/>
    </row>
    <row r="26" spans="1:13" ht="27.75" customHeight="1" x14ac:dyDescent="0.25">
      <c r="A26" s="229"/>
      <c r="B26" s="233" t="s">
        <v>67</v>
      </c>
      <c r="C26" s="233"/>
      <c r="D26" s="233"/>
      <c r="E26" s="56">
        <f>SUM(D179,D184,D187,D192,D198:D199,D201,D205,D210:D211,D216,D221,D223:D225)</f>
        <v>1020.5999999999998</v>
      </c>
      <c r="F26" s="237" t="s">
        <v>83</v>
      </c>
      <c r="G26" s="238"/>
      <c r="H26" s="239"/>
      <c r="I26" s="114"/>
      <c r="J26" s="7">
        <f>I226</f>
        <v>26.243999999999996</v>
      </c>
      <c r="K26" s="77"/>
      <c r="L26" s="75"/>
      <c r="M26" s="3"/>
    </row>
    <row r="27" spans="1:13" ht="27.75" customHeight="1" x14ac:dyDescent="0.25">
      <c r="A27" s="229"/>
      <c r="B27" s="240" t="s">
        <v>84</v>
      </c>
      <c r="C27" s="241"/>
      <c r="D27" s="241"/>
      <c r="E27" s="56">
        <f>SUM(D174:D178,D180:D183,D185:D186,D188:D191,D193:D196,D200,D202:D204,D206:D209,D212:D215,D217:D220,D222)</f>
        <v>2566.3000000000002</v>
      </c>
      <c r="F27" s="232" t="s">
        <v>66</v>
      </c>
      <c r="G27" s="232"/>
      <c r="H27" s="232"/>
      <c r="I27" s="114"/>
      <c r="J27" s="7">
        <f>H226</f>
        <v>27.330863400000016</v>
      </c>
      <c r="K27" s="77"/>
      <c r="L27" s="75"/>
      <c r="M27" s="3"/>
    </row>
    <row r="28" spans="1:13" ht="27.75" customHeight="1" thickBot="1" x14ac:dyDescent="0.3">
      <c r="A28" s="230"/>
      <c r="B28" s="242" t="s">
        <v>85</v>
      </c>
      <c r="C28" s="243"/>
      <c r="D28" s="243"/>
      <c r="E28" s="57">
        <v>0</v>
      </c>
      <c r="F28" s="244" t="s">
        <v>86</v>
      </c>
      <c r="G28" s="245"/>
      <c r="H28" s="246"/>
      <c r="I28" s="110"/>
      <c r="J28" s="46">
        <v>0</v>
      </c>
      <c r="K28" s="77"/>
      <c r="L28" s="75"/>
      <c r="M28" s="3"/>
    </row>
    <row r="29" spans="1:13" ht="25.5" customHeight="1" thickBot="1" x14ac:dyDescent="0.3">
      <c r="A29" s="226" t="s">
        <v>31</v>
      </c>
      <c r="B29" s="227"/>
      <c r="C29" s="227"/>
      <c r="D29" s="227"/>
      <c r="E29" s="227"/>
      <c r="F29" s="228" t="s">
        <v>23</v>
      </c>
      <c r="G29" s="228"/>
      <c r="H29" s="228"/>
      <c r="I29" s="112"/>
      <c r="J29" s="51">
        <v>95.007000000000005</v>
      </c>
      <c r="K29" s="78"/>
      <c r="L29" s="75"/>
      <c r="M29" s="3"/>
    </row>
    <row r="30" spans="1:13" ht="13.9" customHeight="1" x14ac:dyDescent="0.25">
      <c r="A30" s="229"/>
      <c r="B30" s="231" t="s">
        <v>64</v>
      </c>
      <c r="C30" s="231"/>
      <c r="D30" s="231"/>
      <c r="E30" s="231"/>
      <c r="F30" s="231" t="s">
        <v>24</v>
      </c>
      <c r="G30" s="231"/>
      <c r="H30" s="231"/>
      <c r="I30" s="117"/>
      <c r="J30" s="45">
        <f>J34+J33+J35</f>
        <v>86.688356400000004</v>
      </c>
      <c r="K30" s="77"/>
      <c r="L30" s="75"/>
      <c r="M30" s="3"/>
    </row>
    <row r="31" spans="1:13" ht="13.9" customHeight="1" x14ac:dyDescent="0.25">
      <c r="A31" s="229"/>
      <c r="B31" s="232"/>
      <c r="C31" s="232"/>
      <c r="D31" s="232"/>
      <c r="E31" s="232"/>
      <c r="F31" s="232" t="s">
        <v>25</v>
      </c>
      <c r="G31" s="232"/>
      <c r="H31" s="232"/>
      <c r="I31" s="114"/>
      <c r="J31" s="31">
        <f>J29-J34-J33-J35</f>
        <v>8.3186436000000086</v>
      </c>
      <c r="K31" s="77"/>
      <c r="L31" s="75"/>
      <c r="M31" s="3"/>
    </row>
    <row r="32" spans="1:13" ht="13.9" customHeight="1" x14ac:dyDescent="0.25">
      <c r="A32" s="229"/>
      <c r="B32" s="233" t="s">
        <v>65</v>
      </c>
      <c r="C32" s="233"/>
      <c r="D32" s="233"/>
      <c r="E32" s="55">
        <f>D292</f>
        <v>4660.1000000000022</v>
      </c>
      <c r="F32" s="234"/>
      <c r="G32" s="235"/>
      <c r="H32" s="235"/>
      <c r="I32" s="235"/>
      <c r="J32" s="236"/>
      <c r="K32" s="77"/>
      <c r="L32" s="75"/>
      <c r="M32" s="3"/>
    </row>
    <row r="33" spans="1:13" ht="26.25" customHeight="1" x14ac:dyDescent="0.25">
      <c r="A33" s="229"/>
      <c r="B33" s="233" t="s">
        <v>67</v>
      </c>
      <c r="C33" s="233"/>
      <c r="D33" s="233"/>
      <c r="E33" s="56">
        <f>SUM(D227:D230,D232,D238,D243,D247:D251,D253:D256,D258:D259,D261,D263,D269:D270,D272:D273,D275,D278,D280,D284:D287,D290)</f>
        <v>2146.8999999999996</v>
      </c>
      <c r="F33" s="237" t="s">
        <v>83</v>
      </c>
      <c r="G33" s="238"/>
      <c r="H33" s="239"/>
      <c r="I33" s="114"/>
      <c r="J33" s="7">
        <f>I292</f>
        <v>55.20600000000001</v>
      </c>
      <c r="K33" s="77"/>
      <c r="L33" s="75"/>
      <c r="M33" s="3"/>
    </row>
    <row r="34" spans="1:13" ht="26.25" customHeight="1" x14ac:dyDescent="0.25">
      <c r="A34" s="229"/>
      <c r="B34" s="240" t="s">
        <v>84</v>
      </c>
      <c r="C34" s="241"/>
      <c r="D34" s="241"/>
      <c r="E34" s="56">
        <f>SUM(D231,D233:D237,D239:D241,D242,D244:D246,D252,D257,D260,D262,D264:D268,D271,D274,D276:D277,D279,D281:D282,D283,D288:D289,D291)</f>
        <v>2513.2000000000003</v>
      </c>
      <c r="F34" s="232" t="s">
        <v>66</v>
      </c>
      <c r="G34" s="232"/>
      <c r="H34" s="232"/>
      <c r="I34" s="114"/>
      <c r="J34" s="7">
        <f>H292</f>
        <v>31.48235639999999</v>
      </c>
      <c r="K34" s="77"/>
      <c r="L34" s="75"/>
      <c r="M34" s="3"/>
    </row>
    <row r="35" spans="1:13" ht="26.25" customHeight="1" thickBot="1" x14ac:dyDescent="0.3">
      <c r="A35" s="230"/>
      <c r="B35" s="242" t="s">
        <v>85</v>
      </c>
      <c r="C35" s="243"/>
      <c r="D35" s="243"/>
      <c r="E35" s="57">
        <v>0</v>
      </c>
      <c r="F35" s="244" t="s">
        <v>86</v>
      </c>
      <c r="G35" s="245"/>
      <c r="H35" s="246"/>
      <c r="I35" s="110"/>
      <c r="J35" s="46">
        <v>0</v>
      </c>
      <c r="K35" s="77"/>
      <c r="L35" s="75"/>
      <c r="M35" s="3"/>
    </row>
    <row r="36" spans="1:13" ht="13.9" customHeight="1" x14ac:dyDescent="0.25">
      <c r="A36" s="79"/>
      <c r="B36" s="79"/>
      <c r="C36" s="79"/>
      <c r="D36" s="79"/>
      <c r="E36" s="79"/>
      <c r="F36" s="204" t="s">
        <v>26</v>
      </c>
      <c r="G36" s="205"/>
      <c r="H36" s="206"/>
      <c r="I36" s="111"/>
      <c r="J36" s="223">
        <f>J8+J15+J22+J29</f>
        <v>362.13400000000001</v>
      </c>
      <c r="K36" s="80"/>
      <c r="L36" s="75"/>
      <c r="M36" s="3"/>
    </row>
    <row r="37" spans="1:13" ht="13.9" customHeight="1" x14ac:dyDescent="0.25">
      <c r="A37" s="79"/>
      <c r="B37" s="79"/>
      <c r="C37" s="79"/>
      <c r="D37" s="79"/>
      <c r="E37" s="79"/>
      <c r="F37" s="224" t="s">
        <v>27</v>
      </c>
      <c r="G37" s="225"/>
      <c r="H37" s="214"/>
      <c r="I37" s="79"/>
      <c r="J37" s="223"/>
      <c r="K37" s="80"/>
      <c r="L37" s="75"/>
      <c r="M37" s="3"/>
    </row>
    <row r="38" spans="1:13" ht="13.9" customHeight="1" x14ac:dyDescent="0.25">
      <c r="A38" s="79"/>
      <c r="B38" s="79"/>
      <c r="C38" s="79"/>
      <c r="D38" s="79"/>
      <c r="E38" s="79"/>
      <c r="F38" s="213" t="s">
        <v>28</v>
      </c>
      <c r="G38" s="214"/>
      <c r="H38" s="215"/>
      <c r="I38" s="81"/>
      <c r="J38" s="31">
        <f>J9+J16+J23+J30</f>
        <v>293.95972657142863</v>
      </c>
      <c r="K38" s="77"/>
      <c r="L38" s="75"/>
      <c r="M38" s="3"/>
    </row>
    <row r="39" spans="1:13" ht="13.9" customHeight="1" thickBot="1" x14ac:dyDescent="0.3">
      <c r="A39" s="79"/>
      <c r="B39" s="79"/>
      <c r="C39" s="79"/>
      <c r="D39" s="79"/>
      <c r="E39" s="79"/>
      <c r="F39" s="216" t="s">
        <v>9</v>
      </c>
      <c r="G39" s="217"/>
      <c r="H39" s="218"/>
      <c r="I39" s="82"/>
      <c r="J39" s="61">
        <f>J10+J17+J24+J31</f>
        <v>68.174273428571382</v>
      </c>
      <c r="K39" s="77"/>
      <c r="L39" s="75"/>
      <c r="M39" s="3"/>
    </row>
    <row r="40" spans="1:13" ht="14.45" customHeight="1" x14ac:dyDescent="0.25">
      <c r="M40" s="3"/>
    </row>
    <row r="41" spans="1:13" s="11" customFormat="1" ht="61.5" customHeight="1" x14ac:dyDescent="0.25">
      <c r="A41" s="83" t="s">
        <v>0</v>
      </c>
      <c r="B41" s="83" t="s">
        <v>55</v>
      </c>
      <c r="C41" s="84" t="s">
        <v>1</v>
      </c>
      <c r="D41" s="83" t="s">
        <v>2</v>
      </c>
      <c r="E41" s="85" t="s">
        <v>106</v>
      </c>
      <c r="F41" s="85" t="s">
        <v>119</v>
      </c>
      <c r="G41" s="85" t="s">
        <v>33</v>
      </c>
      <c r="H41" s="85" t="s">
        <v>12</v>
      </c>
      <c r="I41" s="86" t="s">
        <v>87</v>
      </c>
      <c r="J41" s="63" t="s">
        <v>6</v>
      </c>
      <c r="K41" s="87" t="s">
        <v>13</v>
      </c>
      <c r="L41" s="88"/>
      <c r="M41" s="13"/>
    </row>
    <row r="42" spans="1:13" x14ac:dyDescent="0.25">
      <c r="A42" s="1">
        <v>1</v>
      </c>
      <c r="B42" s="1"/>
      <c r="C42" s="66">
        <v>43441363</v>
      </c>
      <c r="D42" s="114">
        <v>112.5</v>
      </c>
      <c r="E42" s="5">
        <v>79.53</v>
      </c>
      <c r="F42" s="5">
        <v>82.266000000000005</v>
      </c>
      <c r="G42" s="28"/>
      <c r="H42" s="16">
        <f>G42*0.8598</f>
        <v>0</v>
      </c>
      <c r="I42" s="16">
        <f>((D42*0.015)*12)/7</f>
        <v>2.8928571428571428</v>
      </c>
      <c r="J42" s="16"/>
      <c r="K42" s="16">
        <f>H42+I42+J42</f>
        <v>2.8928571428571428</v>
      </c>
      <c r="M42" s="13" t="s">
        <v>71</v>
      </c>
    </row>
    <row r="43" spans="1:13" x14ac:dyDescent="0.25">
      <c r="A43" s="1">
        <v>2</v>
      </c>
      <c r="B43" s="47">
        <v>45915</v>
      </c>
      <c r="C43" s="66">
        <v>43242252</v>
      </c>
      <c r="D43" s="114">
        <v>58.7</v>
      </c>
      <c r="E43" s="5">
        <v>48.356999999999999</v>
      </c>
      <c r="F43" s="5">
        <v>49.250999999999998</v>
      </c>
      <c r="G43" s="28">
        <f>F43-E43</f>
        <v>0.89399999999999835</v>
      </c>
      <c r="H43" s="16">
        <f t="shared" ref="H43:H106" si="0">G43*0.8598</f>
        <v>0.7686611999999986</v>
      </c>
      <c r="I43" s="16"/>
      <c r="J43" s="16">
        <f>D43/($E$11-$E$12)*$J$10</f>
        <v>0.2048721157885639</v>
      </c>
      <c r="K43" s="16">
        <f>H43+I43+J43</f>
        <v>0.9735333157885625</v>
      </c>
      <c r="M43" s="13" t="s">
        <v>69</v>
      </c>
    </row>
    <row r="44" spans="1:13" x14ac:dyDescent="0.25">
      <c r="A44" s="1">
        <v>3</v>
      </c>
      <c r="B44" s="52">
        <v>45686</v>
      </c>
      <c r="C44" s="10" t="s">
        <v>91</v>
      </c>
      <c r="D44" s="114">
        <v>50.5</v>
      </c>
      <c r="E44" s="39">
        <v>2.5979000000000001</v>
      </c>
      <c r="F44" s="39">
        <v>2.84</v>
      </c>
      <c r="G44" s="5"/>
      <c r="H44" s="16">
        <f>F44-E44</f>
        <v>0.24209999999999976</v>
      </c>
      <c r="I44" s="16"/>
      <c r="J44" s="16">
        <f>D44/($E$11-$E$12)*$J$10</f>
        <v>0.17625284237346636</v>
      </c>
      <c r="K44" s="16">
        <f t="shared" ref="K44:K58" si="1">H44+I44+J44</f>
        <v>0.41835284237346615</v>
      </c>
      <c r="M44" s="13" t="s">
        <v>69</v>
      </c>
    </row>
    <row r="45" spans="1:13" x14ac:dyDescent="0.25">
      <c r="A45" s="1">
        <v>4</v>
      </c>
      <c r="B45" s="34"/>
      <c r="C45" s="66">
        <v>43441362</v>
      </c>
      <c r="D45" s="109">
        <v>51.8</v>
      </c>
      <c r="E45" s="5">
        <v>33.991</v>
      </c>
      <c r="F45" s="5">
        <v>34.545999999999999</v>
      </c>
      <c r="G45" s="5"/>
      <c r="H45" s="16">
        <f t="shared" si="0"/>
        <v>0</v>
      </c>
      <c r="I45" s="16">
        <f>((D45*0.015)*12)/7</f>
        <v>1.3319999999999996</v>
      </c>
      <c r="J45" s="16"/>
      <c r="K45" s="16">
        <f t="shared" si="1"/>
        <v>1.3319999999999996</v>
      </c>
      <c r="M45" s="13" t="s">
        <v>71</v>
      </c>
    </row>
    <row r="46" spans="1:13" x14ac:dyDescent="0.25">
      <c r="A46" s="1">
        <v>5</v>
      </c>
      <c r="B46" s="47">
        <v>45598</v>
      </c>
      <c r="C46" s="66">
        <v>43242251</v>
      </c>
      <c r="D46" s="109">
        <v>52.9</v>
      </c>
      <c r="E46" s="5">
        <v>24.05</v>
      </c>
      <c r="F46" s="5">
        <v>24.744</v>
      </c>
      <c r="G46" s="5">
        <f>F46-E46</f>
        <v>0.69399999999999906</v>
      </c>
      <c r="H46" s="16">
        <f t="shared" si="0"/>
        <v>0.59670119999999915</v>
      </c>
      <c r="I46" s="16"/>
      <c r="J46" s="16">
        <f t="shared" ref="J46:J48" si="2">D46/($E$11-$E$12)*$J$10</f>
        <v>0.18462921508032418</v>
      </c>
      <c r="K46" s="16">
        <f t="shared" si="1"/>
        <v>0.7813304150803233</v>
      </c>
      <c r="M46" s="13" t="s">
        <v>69</v>
      </c>
    </row>
    <row r="47" spans="1:13" x14ac:dyDescent="0.25">
      <c r="A47" s="1">
        <v>6</v>
      </c>
      <c r="B47" s="47">
        <v>45453</v>
      </c>
      <c r="C47" s="10" t="s">
        <v>56</v>
      </c>
      <c r="D47" s="109">
        <v>99.6</v>
      </c>
      <c r="E47" s="39">
        <v>8.0200999999999993</v>
      </c>
      <c r="F47" s="39">
        <v>9.3318999999999992</v>
      </c>
      <c r="G47" s="39"/>
      <c r="H47" s="16">
        <f>F47-E47</f>
        <v>1.3117999999999999</v>
      </c>
      <c r="I47" s="16"/>
      <c r="J47" s="16">
        <f t="shared" si="2"/>
        <v>0.34761946733459903</v>
      </c>
      <c r="K47" s="16">
        <f t="shared" si="1"/>
        <v>1.6594194673345988</v>
      </c>
      <c r="M47" s="13" t="s">
        <v>69</v>
      </c>
    </row>
    <row r="48" spans="1:13" x14ac:dyDescent="0.25">
      <c r="A48" s="1">
        <v>7</v>
      </c>
      <c r="B48" s="47">
        <v>45594</v>
      </c>
      <c r="C48" s="10" t="s">
        <v>70</v>
      </c>
      <c r="D48" s="109">
        <v>112.6</v>
      </c>
      <c r="E48" s="39">
        <v>9.1649999999999991</v>
      </c>
      <c r="F48" s="39">
        <v>10.878</v>
      </c>
      <c r="G48" s="39"/>
      <c r="H48" s="16">
        <f>F48-E48</f>
        <v>1.713000000000001</v>
      </c>
      <c r="I48" s="16"/>
      <c r="J48" s="16">
        <f t="shared" si="2"/>
        <v>0.39299148616341212</v>
      </c>
      <c r="K48" s="16">
        <f t="shared" si="1"/>
        <v>2.105991486163413</v>
      </c>
      <c r="M48" s="13" t="s">
        <v>69</v>
      </c>
    </row>
    <row r="49" spans="1:13" x14ac:dyDescent="0.25">
      <c r="A49" s="1">
        <v>8</v>
      </c>
      <c r="B49" s="34"/>
      <c r="C49" s="66">
        <v>43441368</v>
      </c>
      <c r="D49" s="114">
        <v>62.5</v>
      </c>
      <c r="E49" s="5">
        <v>17.812999999999999</v>
      </c>
      <c r="F49" s="5">
        <v>18.077000000000002</v>
      </c>
      <c r="G49" s="5"/>
      <c r="H49" s="16">
        <f t="shared" si="0"/>
        <v>0</v>
      </c>
      <c r="I49" s="16">
        <f t="shared" ref="I49:I56" si="3">((D49*0.015)*12)/7</f>
        <v>1.6071428571428572</v>
      </c>
      <c r="J49" s="16"/>
      <c r="K49" s="16">
        <f t="shared" si="1"/>
        <v>1.6071428571428572</v>
      </c>
      <c r="M49" s="13" t="s">
        <v>71</v>
      </c>
    </row>
    <row r="50" spans="1:13" x14ac:dyDescent="0.25">
      <c r="A50" s="1">
        <v>9</v>
      </c>
      <c r="B50" s="33"/>
      <c r="C50" s="66">
        <v>43441366</v>
      </c>
      <c r="D50" s="114">
        <v>50.5</v>
      </c>
      <c r="E50" s="5">
        <v>40.317</v>
      </c>
      <c r="F50" s="5">
        <v>41.963999999999999</v>
      </c>
      <c r="G50" s="5"/>
      <c r="H50" s="16">
        <f t="shared" si="0"/>
        <v>0</v>
      </c>
      <c r="I50" s="16">
        <f t="shared" si="3"/>
        <v>1.2985714285714285</v>
      </c>
      <c r="J50" s="16"/>
      <c r="K50" s="16">
        <f t="shared" si="1"/>
        <v>1.2985714285714285</v>
      </c>
      <c r="M50" s="13" t="s">
        <v>71</v>
      </c>
    </row>
    <row r="51" spans="1:13" x14ac:dyDescent="0.25">
      <c r="A51" s="1">
        <v>10</v>
      </c>
      <c r="B51" s="47">
        <v>45746</v>
      </c>
      <c r="C51" s="66">
        <v>43441367</v>
      </c>
      <c r="D51" s="114">
        <v>52.3</v>
      </c>
      <c r="E51" s="5">
        <v>13.635999999999999</v>
      </c>
      <c r="F51" s="5">
        <v>14.262</v>
      </c>
      <c r="G51" s="5">
        <f>F51-E51</f>
        <v>0.62600000000000122</v>
      </c>
      <c r="H51" s="16">
        <f t="shared" si="0"/>
        <v>0.53823480000000101</v>
      </c>
      <c r="I51" s="16"/>
      <c r="J51" s="16">
        <f>D51/($E$11-$E$12)*$J$10</f>
        <v>0.18253512190360971</v>
      </c>
      <c r="K51" s="16">
        <f t="shared" si="1"/>
        <v>0.72076992190361078</v>
      </c>
      <c r="M51" s="13" t="s">
        <v>69</v>
      </c>
    </row>
    <row r="52" spans="1:13" x14ac:dyDescent="0.25">
      <c r="A52" s="1">
        <v>11</v>
      </c>
      <c r="B52" s="33"/>
      <c r="C52" s="66">
        <v>43441360</v>
      </c>
      <c r="D52" s="114">
        <v>53</v>
      </c>
      <c r="E52" s="5">
        <v>19.47</v>
      </c>
      <c r="F52" s="5">
        <v>20.123000000000001</v>
      </c>
      <c r="G52" s="5"/>
      <c r="H52" s="16">
        <f t="shared" si="0"/>
        <v>0</v>
      </c>
      <c r="I52" s="16">
        <f t="shared" si="3"/>
        <v>1.3628571428571428</v>
      </c>
      <c r="J52" s="16"/>
      <c r="K52" s="16">
        <f t="shared" si="1"/>
        <v>1.3628571428571428</v>
      </c>
      <c r="M52" s="13" t="s">
        <v>71</v>
      </c>
    </row>
    <row r="53" spans="1:13" x14ac:dyDescent="0.25">
      <c r="A53" s="1">
        <v>12</v>
      </c>
      <c r="B53" s="47">
        <v>45600</v>
      </c>
      <c r="C53" s="66">
        <v>43441365</v>
      </c>
      <c r="D53" s="114">
        <v>100.2</v>
      </c>
      <c r="E53" s="5">
        <v>50.548999999999999</v>
      </c>
      <c r="F53" s="5">
        <v>53.118000000000002</v>
      </c>
      <c r="G53" s="5">
        <f>F53-E53</f>
        <v>2.5690000000000026</v>
      </c>
      <c r="H53" s="16">
        <f>G53*0.8598</f>
        <v>2.2088262000000021</v>
      </c>
      <c r="I53" s="16"/>
      <c r="J53" s="16">
        <f>D53/($E$11-$E$12)*$J$10</f>
        <v>0.34971356051131353</v>
      </c>
      <c r="K53" s="16">
        <f t="shared" si="1"/>
        <v>2.5585397605113158</v>
      </c>
      <c r="M53" s="13" t="s">
        <v>69</v>
      </c>
    </row>
    <row r="54" spans="1:13" x14ac:dyDescent="0.25">
      <c r="A54" s="1">
        <v>13</v>
      </c>
      <c r="B54" s="33"/>
      <c r="C54" s="67">
        <v>43441377</v>
      </c>
      <c r="D54" s="114">
        <v>112.4</v>
      </c>
      <c r="E54" s="5">
        <v>64.054000000000002</v>
      </c>
      <c r="F54" s="5">
        <v>66.343999999999994</v>
      </c>
      <c r="G54" s="5"/>
      <c r="H54" s="16">
        <f t="shared" si="0"/>
        <v>0</v>
      </c>
      <c r="I54" s="16">
        <f t="shared" si="3"/>
        <v>2.8902857142857141</v>
      </c>
      <c r="J54" s="16"/>
      <c r="K54" s="16">
        <f t="shared" si="1"/>
        <v>2.8902857142857141</v>
      </c>
      <c r="M54" s="13" t="s">
        <v>71</v>
      </c>
    </row>
    <row r="55" spans="1:13" x14ac:dyDescent="0.25">
      <c r="A55" s="1">
        <v>14</v>
      </c>
      <c r="B55" s="33"/>
      <c r="C55" s="67">
        <v>43441370</v>
      </c>
      <c r="D55" s="114">
        <v>63.8</v>
      </c>
      <c r="E55" s="5">
        <v>65.745000000000005</v>
      </c>
      <c r="F55" s="5">
        <v>67.492000000000004</v>
      </c>
      <c r="G55" s="5"/>
      <c r="H55" s="16">
        <f t="shared" si="0"/>
        <v>0</v>
      </c>
      <c r="I55" s="16">
        <f t="shared" si="3"/>
        <v>1.6405714285714286</v>
      </c>
      <c r="J55" s="16"/>
      <c r="K55" s="16">
        <f t="shared" si="1"/>
        <v>1.6405714285714286</v>
      </c>
      <c r="M55" s="13" t="s">
        <v>71</v>
      </c>
    </row>
    <row r="56" spans="1:13" x14ac:dyDescent="0.25">
      <c r="A56" s="1">
        <v>15</v>
      </c>
      <c r="B56" s="33"/>
      <c r="C56" s="66">
        <v>43441369</v>
      </c>
      <c r="D56" s="114">
        <v>50.9</v>
      </c>
      <c r="E56" s="5">
        <v>35.731999999999999</v>
      </c>
      <c r="F56" s="5">
        <v>36.854999999999997</v>
      </c>
      <c r="G56" s="5"/>
      <c r="H56" s="16">
        <f t="shared" si="0"/>
        <v>0</v>
      </c>
      <c r="I56" s="16">
        <f t="shared" si="3"/>
        <v>1.3088571428571427</v>
      </c>
      <c r="J56" s="16"/>
      <c r="K56" s="16">
        <f t="shared" si="1"/>
        <v>1.3088571428571427</v>
      </c>
      <c r="M56" s="13" t="s">
        <v>71</v>
      </c>
    </row>
    <row r="57" spans="1:13" x14ac:dyDescent="0.25">
      <c r="A57" s="1">
        <v>16</v>
      </c>
      <c r="B57" s="47">
        <v>45900</v>
      </c>
      <c r="C57" s="66">
        <v>43441375</v>
      </c>
      <c r="D57" s="114">
        <v>52.4</v>
      </c>
      <c r="E57" s="5">
        <v>27.001999999999999</v>
      </c>
      <c r="F57" s="5">
        <v>27.451000000000001</v>
      </c>
      <c r="G57" s="5">
        <f>F57-E57</f>
        <v>0.44900000000000162</v>
      </c>
      <c r="H57" s="16">
        <f t="shared" si="0"/>
        <v>0.3860502000000014</v>
      </c>
      <c r="I57" s="16"/>
      <c r="J57" s="16">
        <f t="shared" ref="J57:J61" si="4">D57/($E$11-$E$12)*$J$10</f>
        <v>0.18288413743306214</v>
      </c>
      <c r="K57" s="16">
        <f t="shared" si="1"/>
        <v>0.56893433743306354</v>
      </c>
      <c r="M57" s="13" t="s">
        <v>69</v>
      </c>
    </row>
    <row r="58" spans="1:13" x14ac:dyDescent="0.25">
      <c r="A58" s="1">
        <v>17</v>
      </c>
      <c r="B58" s="47">
        <v>45595</v>
      </c>
      <c r="C58" s="66">
        <v>43441376</v>
      </c>
      <c r="D58" s="114">
        <v>53.3</v>
      </c>
      <c r="E58" s="5">
        <v>44.935000000000002</v>
      </c>
      <c r="F58" s="5">
        <v>46.981000000000002</v>
      </c>
      <c r="G58" s="5">
        <f>F58-E58</f>
        <v>2.0459999999999994</v>
      </c>
      <c r="H58" s="16">
        <f>G58*0.8598</f>
        <v>1.7591507999999996</v>
      </c>
      <c r="I58" s="16"/>
      <c r="J58" s="16">
        <f t="shared" si="4"/>
        <v>0.1860252771981338</v>
      </c>
      <c r="K58" s="16">
        <f t="shared" si="1"/>
        <v>1.9451760771981335</v>
      </c>
      <c r="M58" s="13" t="s">
        <v>69</v>
      </c>
    </row>
    <row r="59" spans="1:13" ht="15.75" customHeight="1" x14ac:dyDescent="0.25">
      <c r="A59" s="1">
        <v>18</v>
      </c>
      <c r="B59" s="47">
        <v>45700</v>
      </c>
      <c r="C59" s="66">
        <v>43441361</v>
      </c>
      <c r="D59" s="114">
        <v>100.6</v>
      </c>
      <c r="E59" s="5">
        <v>4.8840000000000003</v>
      </c>
      <c r="F59" s="5">
        <v>4.9770000000000003</v>
      </c>
      <c r="G59" s="5">
        <f>F59-E59</f>
        <v>9.2999999999999972E-2</v>
      </c>
      <c r="H59" s="16">
        <f t="shared" si="0"/>
        <v>7.9961399999999974E-2</v>
      </c>
      <c r="I59" s="16"/>
      <c r="J59" s="16">
        <f t="shared" si="4"/>
        <v>0.3511096226291231</v>
      </c>
      <c r="K59" s="16">
        <f>H59+I59+J59</f>
        <v>0.43107102262912306</v>
      </c>
      <c r="M59" s="13" t="s">
        <v>69</v>
      </c>
    </row>
    <row r="60" spans="1:13" x14ac:dyDescent="0.25">
      <c r="A60" s="1">
        <v>19</v>
      </c>
      <c r="B60" s="47">
        <v>45767</v>
      </c>
      <c r="C60" s="66">
        <v>43441266</v>
      </c>
      <c r="D60" s="114">
        <v>112.4</v>
      </c>
      <c r="E60" s="5">
        <v>42.612000000000002</v>
      </c>
      <c r="F60" s="5">
        <v>44.478999999999999</v>
      </c>
      <c r="G60" s="5">
        <f>F60-E60</f>
        <v>1.8669999999999973</v>
      </c>
      <c r="H60" s="16">
        <f t="shared" si="0"/>
        <v>1.6052465999999976</v>
      </c>
      <c r="I60" s="16"/>
      <c r="J60" s="16">
        <f t="shared" si="4"/>
        <v>0.39229345510450736</v>
      </c>
      <c r="K60" s="16">
        <f t="shared" ref="K60:K114" si="5">H60+I60+J60</f>
        <v>1.9975400551045051</v>
      </c>
      <c r="M60" s="13" t="s">
        <v>69</v>
      </c>
    </row>
    <row r="61" spans="1:13" x14ac:dyDescent="0.25">
      <c r="A61" s="1">
        <v>20</v>
      </c>
      <c r="B61" s="47">
        <v>45955</v>
      </c>
      <c r="C61" s="66" t="s">
        <v>107</v>
      </c>
      <c r="D61" s="114">
        <v>63</v>
      </c>
      <c r="E61" s="39">
        <v>0.59860000000000002</v>
      </c>
      <c r="F61" s="39">
        <v>1.2494000000000001</v>
      </c>
      <c r="G61" s="5"/>
      <c r="H61" s="16">
        <f>F61-E61</f>
        <v>0.65080000000000005</v>
      </c>
      <c r="I61" s="16"/>
      <c r="J61" s="16">
        <f t="shared" si="4"/>
        <v>0.21987978355501747</v>
      </c>
      <c r="K61" s="16">
        <f t="shared" si="5"/>
        <v>0.87067978355501752</v>
      </c>
      <c r="M61" s="13" t="s">
        <v>69</v>
      </c>
    </row>
    <row r="62" spans="1:13" x14ac:dyDescent="0.25">
      <c r="A62" s="1">
        <v>21</v>
      </c>
      <c r="B62" s="33"/>
      <c r="C62" s="66">
        <v>43441274</v>
      </c>
      <c r="D62" s="114">
        <v>50.5</v>
      </c>
      <c r="E62" s="5">
        <v>30.257999999999999</v>
      </c>
      <c r="F62" s="5">
        <v>32.027000000000001</v>
      </c>
      <c r="G62" s="5"/>
      <c r="H62" s="16">
        <f t="shared" si="0"/>
        <v>0</v>
      </c>
      <c r="I62" s="16">
        <f>((D62*0.015)*12)/7</f>
        <v>1.2985714285714285</v>
      </c>
      <c r="J62" s="16"/>
      <c r="K62" s="16">
        <f t="shared" si="5"/>
        <v>1.2985714285714285</v>
      </c>
      <c r="M62" s="13" t="s">
        <v>71</v>
      </c>
    </row>
    <row r="63" spans="1:13" x14ac:dyDescent="0.25">
      <c r="A63" s="1">
        <v>22</v>
      </c>
      <c r="B63" s="48">
        <v>45734</v>
      </c>
      <c r="C63" s="66">
        <v>43441273</v>
      </c>
      <c r="D63" s="114">
        <v>52.4</v>
      </c>
      <c r="E63" s="5">
        <v>29.677</v>
      </c>
      <c r="F63" s="5">
        <v>30.872</v>
      </c>
      <c r="G63" s="5">
        <f>F63-E63</f>
        <v>1.1950000000000003</v>
      </c>
      <c r="H63" s="16">
        <f t="shared" si="0"/>
        <v>1.0274610000000002</v>
      </c>
      <c r="I63" s="16"/>
      <c r="J63" s="16">
        <f t="shared" ref="J63:J64" si="6">D63/($E$11-$E$12)*$J$10</f>
        <v>0.18288413743306214</v>
      </c>
      <c r="K63" s="16">
        <f t="shared" si="5"/>
        <v>1.2103451374330623</v>
      </c>
      <c r="M63" s="13" t="s">
        <v>69</v>
      </c>
    </row>
    <row r="64" spans="1:13" x14ac:dyDescent="0.25">
      <c r="A64" s="1">
        <v>23</v>
      </c>
      <c r="B64" s="47">
        <v>45774</v>
      </c>
      <c r="C64" s="66">
        <v>43441371</v>
      </c>
      <c r="D64" s="114">
        <v>53.1</v>
      </c>
      <c r="E64" s="5">
        <v>11.778</v>
      </c>
      <c r="F64" s="5">
        <v>11.929</v>
      </c>
      <c r="G64" s="5">
        <f>F64-E64</f>
        <v>0.1509999999999998</v>
      </c>
      <c r="H64" s="16">
        <f t="shared" si="0"/>
        <v>0.12982979999999983</v>
      </c>
      <c r="I64" s="16"/>
      <c r="J64" s="16">
        <f t="shared" si="6"/>
        <v>0.18532724613922902</v>
      </c>
      <c r="K64" s="16">
        <f t="shared" si="5"/>
        <v>0.31515704613922885</v>
      </c>
      <c r="M64" s="13" t="s">
        <v>69</v>
      </c>
    </row>
    <row r="65" spans="1:13" x14ac:dyDescent="0.25">
      <c r="A65" s="1">
        <v>24</v>
      </c>
      <c r="B65" s="33"/>
      <c r="C65" s="66">
        <v>43441374</v>
      </c>
      <c r="D65" s="114">
        <v>100.7</v>
      </c>
      <c r="E65" s="5">
        <v>72.319000000000003</v>
      </c>
      <c r="F65" s="5">
        <v>74.899000000000001</v>
      </c>
      <c r="G65" s="5"/>
      <c r="H65" s="16">
        <f t="shared" si="0"/>
        <v>0</v>
      </c>
      <c r="I65" s="16">
        <f>((D65*0.015)*12)/7</f>
        <v>2.589428571428571</v>
      </c>
      <c r="J65" s="16"/>
      <c r="K65" s="16">
        <f t="shared" si="5"/>
        <v>2.589428571428571</v>
      </c>
      <c r="M65" s="13" t="s">
        <v>71</v>
      </c>
    </row>
    <row r="66" spans="1:13" x14ac:dyDescent="0.25">
      <c r="A66" s="1">
        <v>25</v>
      </c>
      <c r="B66" s="33" t="s">
        <v>100</v>
      </c>
      <c r="C66" s="66">
        <v>43441275</v>
      </c>
      <c r="D66" s="114">
        <v>112.5</v>
      </c>
      <c r="E66" s="5">
        <v>56.664000000000001</v>
      </c>
      <c r="F66" s="5">
        <v>58.786999999999999</v>
      </c>
      <c r="G66" s="5">
        <f>F66-E66</f>
        <v>2.1229999999999976</v>
      </c>
      <c r="H66" s="16">
        <f t="shared" si="0"/>
        <v>1.8253553999999979</v>
      </c>
      <c r="I66" s="16"/>
      <c r="J66" s="16">
        <f t="shared" ref="J66:J68" si="7">D66/($E$11-$E$12)*$J$10</f>
        <v>0.39264247063395974</v>
      </c>
      <c r="K66" s="16">
        <f t="shared" si="5"/>
        <v>2.2179978706339574</v>
      </c>
      <c r="M66" s="13" t="s">
        <v>69</v>
      </c>
    </row>
    <row r="67" spans="1:13" x14ac:dyDescent="0.25">
      <c r="A67" s="1">
        <v>26</v>
      </c>
      <c r="B67" s="47">
        <v>45803</v>
      </c>
      <c r="C67" s="66">
        <v>43441269</v>
      </c>
      <c r="D67" s="114">
        <v>62.5</v>
      </c>
      <c r="E67" s="5">
        <v>13.44</v>
      </c>
      <c r="F67" s="5">
        <v>14.089</v>
      </c>
      <c r="G67" s="5">
        <f>F67-E67</f>
        <v>0.64900000000000091</v>
      </c>
      <c r="H67" s="16">
        <f t="shared" si="0"/>
        <v>0.55801020000000079</v>
      </c>
      <c r="I67" s="16"/>
      <c r="J67" s="16">
        <f t="shared" si="7"/>
        <v>0.21813470590775544</v>
      </c>
      <c r="K67" s="16">
        <f t="shared" si="5"/>
        <v>0.7761449059077562</v>
      </c>
      <c r="M67" s="13" t="s">
        <v>69</v>
      </c>
    </row>
    <row r="68" spans="1:13" x14ac:dyDescent="0.25">
      <c r="A68" s="1">
        <v>27</v>
      </c>
      <c r="B68" s="47">
        <v>45725</v>
      </c>
      <c r="C68" s="66">
        <v>43441270</v>
      </c>
      <c r="D68" s="114">
        <v>51.2</v>
      </c>
      <c r="E68" s="5">
        <v>1.23</v>
      </c>
      <c r="F68" s="5">
        <v>1.2430000000000001</v>
      </c>
      <c r="G68" s="28">
        <f>F68-E68</f>
        <v>1.3000000000000123E-2</v>
      </c>
      <c r="H68" s="16">
        <f>G68*0.8598</f>
        <v>1.1177400000000106E-2</v>
      </c>
      <c r="I68" s="16"/>
      <c r="J68" s="16">
        <f t="shared" si="7"/>
        <v>0.17869595107963324</v>
      </c>
      <c r="K68" s="16">
        <f t="shared" si="5"/>
        <v>0.18987335107963335</v>
      </c>
      <c r="M68" s="13" t="s">
        <v>69</v>
      </c>
    </row>
    <row r="69" spans="1:13" x14ac:dyDescent="0.25">
      <c r="A69" s="1">
        <v>28</v>
      </c>
      <c r="B69" s="33"/>
      <c r="C69" s="66">
        <v>43441264</v>
      </c>
      <c r="D69" s="114">
        <v>52.5</v>
      </c>
      <c r="E69" s="5">
        <v>20.286000000000001</v>
      </c>
      <c r="F69" s="5">
        <v>21.802</v>
      </c>
      <c r="G69" s="5"/>
      <c r="H69" s="16">
        <f t="shared" si="0"/>
        <v>0</v>
      </c>
      <c r="I69" s="16">
        <f>((D69*0.015)*12)/7</f>
        <v>1.3499999999999999</v>
      </c>
      <c r="J69" s="16"/>
      <c r="K69" s="16">
        <f t="shared" si="5"/>
        <v>1.3499999999999999</v>
      </c>
      <c r="M69" s="13" t="s">
        <v>71</v>
      </c>
    </row>
    <row r="70" spans="1:13" x14ac:dyDescent="0.25">
      <c r="A70" s="1">
        <v>29</v>
      </c>
      <c r="B70" s="47">
        <v>45718</v>
      </c>
      <c r="C70" s="66">
        <v>43441272</v>
      </c>
      <c r="D70" s="114">
        <v>52.8</v>
      </c>
      <c r="E70" s="5">
        <v>22.065000000000001</v>
      </c>
      <c r="F70" s="5">
        <v>22.670999999999999</v>
      </c>
      <c r="G70" s="28">
        <f>F70-E70</f>
        <v>0.6059999999999981</v>
      </c>
      <c r="H70" s="16">
        <f t="shared" si="0"/>
        <v>0.52103879999999836</v>
      </c>
      <c r="I70" s="16"/>
      <c r="J70" s="16">
        <f t="shared" ref="J70:J71" si="8">D70/($E$11-$E$12)*$J$10</f>
        <v>0.1842801995508718</v>
      </c>
      <c r="K70" s="16">
        <f t="shared" si="5"/>
        <v>0.70531899955087018</v>
      </c>
      <c r="M70" s="13" t="s">
        <v>69</v>
      </c>
    </row>
    <row r="71" spans="1:13" x14ac:dyDescent="0.25">
      <c r="A71" s="1">
        <v>30</v>
      </c>
      <c r="B71" s="48">
        <v>45734</v>
      </c>
      <c r="C71" s="66">
        <v>43441265</v>
      </c>
      <c r="D71" s="114">
        <v>101.4</v>
      </c>
      <c r="E71" s="5">
        <v>34.671999999999997</v>
      </c>
      <c r="F71" s="5">
        <v>35.834000000000003</v>
      </c>
      <c r="G71" s="28">
        <f>F71-E71</f>
        <v>1.1620000000000061</v>
      </c>
      <c r="H71" s="16">
        <f t="shared" si="0"/>
        <v>0.99908760000000529</v>
      </c>
      <c r="I71" s="16"/>
      <c r="J71" s="16">
        <f t="shared" si="8"/>
        <v>0.35390174686474241</v>
      </c>
      <c r="K71" s="16">
        <f t="shared" si="5"/>
        <v>1.3529893468647476</v>
      </c>
      <c r="M71" s="13" t="s">
        <v>69</v>
      </c>
    </row>
    <row r="72" spans="1:13" x14ac:dyDescent="0.25">
      <c r="A72" s="1">
        <v>31</v>
      </c>
      <c r="B72" s="33"/>
      <c r="C72" s="66">
        <v>43441277</v>
      </c>
      <c r="D72" s="114">
        <v>112.5</v>
      </c>
      <c r="E72" s="5">
        <v>74.709999999999994</v>
      </c>
      <c r="F72" s="5">
        <v>77.033000000000001</v>
      </c>
      <c r="G72" s="5"/>
      <c r="H72" s="16">
        <f t="shared" si="0"/>
        <v>0</v>
      </c>
      <c r="I72" s="16">
        <f>((D72*0.015)*12)/7</f>
        <v>2.8928571428571428</v>
      </c>
      <c r="J72" s="16"/>
      <c r="K72" s="16">
        <f t="shared" si="5"/>
        <v>2.8928571428571428</v>
      </c>
      <c r="M72" s="13" t="s">
        <v>71</v>
      </c>
    </row>
    <row r="73" spans="1:13" x14ac:dyDescent="0.25">
      <c r="A73" s="1">
        <v>32</v>
      </c>
      <c r="B73" s="47">
        <v>45923</v>
      </c>
      <c r="C73" s="66">
        <v>43441276</v>
      </c>
      <c r="D73" s="114">
        <v>63.1</v>
      </c>
      <c r="E73" s="5">
        <v>48.722000000000001</v>
      </c>
      <c r="F73" s="5">
        <v>49.752000000000002</v>
      </c>
      <c r="G73" s="28">
        <f>F73-E73</f>
        <v>1.0300000000000011</v>
      </c>
      <c r="H73" s="16">
        <f t="shared" si="0"/>
        <v>0.88559400000000099</v>
      </c>
      <c r="I73" s="16"/>
      <c r="J73" s="16">
        <f t="shared" ref="J73:J74" si="9">D73/($E$11-$E$12)*$J$10</f>
        <v>0.22022879908446988</v>
      </c>
      <c r="K73" s="16">
        <f t="shared" si="5"/>
        <v>1.1058227990844709</v>
      </c>
      <c r="M73" s="13" t="s">
        <v>69</v>
      </c>
    </row>
    <row r="74" spans="1:13" x14ac:dyDescent="0.25">
      <c r="A74" s="1">
        <v>33</v>
      </c>
      <c r="B74" s="47">
        <v>45865</v>
      </c>
      <c r="C74" s="66">
        <v>43441279</v>
      </c>
      <c r="D74" s="114">
        <v>50.9</v>
      </c>
      <c r="E74" s="5">
        <v>44.722000000000001</v>
      </c>
      <c r="F74" s="5">
        <v>46.54</v>
      </c>
      <c r="G74" s="28">
        <f>F74-E74</f>
        <v>1.8179999999999978</v>
      </c>
      <c r="H74" s="16">
        <f t="shared" si="0"/>
        <v>1.5631163999999982</v>
      </c>
      <c r="I74" s="16"/>
      <c r="J74" s="16">
        <f t="shared" si="9"/>
        <v>0.17764890449127602</v>
      </c>
      <c r="K74" s="16">
        <f t="shared" si="5"/>
        <v>1.7407653044912741</v>
      </c>
      <c r="M74" s="13" t="s">
        <v>69</v>
      </c>
    </row>
    <row r="75" spans="1:13" x14ac:dyDescent="0.25">
      <c r="A75" s="1">
        <v>34</v>
      </c>
      <c r="B75" s="33"/>
      <c r="C75" s="66">
        <v>43441281</v>
      </c>
      <c r="D75" s="114">
        <v>52.2</v>
      </c>
      <c r="E75" s="5">
        <v>36.277000000000001</v>
      </c>
      <c r="F75" s="5">
        <v>37.378</v>
      </c>
      <c r="G75" s="5"/>
      <c r="H75" s="16">
        <f t="shared" si="0"/>
        <v>0</v>
      </c>
      <c r="I75" s="16">
        <f>((D75*0.015)*12)/7</f>
        <v>1.3422857142857143</v>
      </c>
      <c r="J75" s="16"/>
      <c r="K75" s="16">
        <f t="shared" si="5"/>
        <v>1.3422857142857143</v>
      </c>
      <c r="M75" s="13" t="s">
        <v>71</v>
      </c>
    </row>
    <row r="76" spans="1:13" x14ac:dyDescent="0.25">
      <c r="A76" s="1">
        <v>35</v>
      </c>
      <c r="B76" s="33"/>
      <c r="C76" s="66">
        <v>43441282</v>
      </c>
      <c r="D76" s="114">
        <v>53</v>
      </c>
      <c r="E76" s="5">
        <v>37.466000000000001</v>
      </c>
      <c r="F76" s="5">
        <v>38.962000000000003</v>
      </c>
      <c r="G76" s="5"/>
      <c r="H76" s="16">
        <f t="shared" si="0"/>
        <v>0</v>
      </c>
      <c r="I76" s="16">
        <f>((D76*0.015)*12)/7</f>
        <v>1.3628571428571428</v>
      </c>
      <c r="J76" s="16"/>
      <c r="K76" s="16">
        <f t="shared" si="5"/>
        <v>1.3628571428571428</v>
      </c>
      <c r="M76" s="13" t="s">
        <v>71</v>
      </c>
    </row>
    <row r="77" spans="1:13" x14ac:dyDescent="0.25">
      <c r="A77" s="1">
        <v>36</v>
      </c>
      <c r="B77" s="33"/>
      <c r="C77" s="66">
        <v>43441280</v>
      </c>
      <c r="D77" s="114">
        <v>103.1</v>
      </c>
      <c r="E77" s="5">
        <v>61.496000000000002</v>
      </c>
      <c r="F77" s="5">
        <v>64.301000000000002</v>
      </c>
      <c r="G77" s="5"/>
      <c r="H77" s="16">
        <f t="shared" si="0"/>
        <v>0</v>
      </c>
      <c r="I77" s="16">
        <f>((D77*0.015)*12)/7</f>
        <v>2.6511428571428568</v>
      </c>
      <c r="J77" s="16"/>
      <c r="K77" s="16">
        <f t="shared" si="5"/>
        <v>2.6511428571428568</v>
      </c>
      <c r="M77" s="13" t="s">
        <v>71</v>
      </c>
    </row>
    <row r="78" spans="1:13" x14ac:dyDescent="0.25">
      <c r="A78" s="1">
        <v>37</v>
      </c>
      <c r="B78" s="47">
        <v>46651</v>
      </c>
      <c r="C78" s="10" t="s">
        <v>101</v>
      </c>
      <c r="D78" s="114">
        <v>112.4</v>
      </c>
      <c r="E78" s="5">
        <v>4.5179999999999998</v>
      </c>
      <c r="F78" s="5">
        <v>7.1130000000000004</v>
      </c>
      <c r="G78" s="5"/>
      <c r="H78" s="16">
        <f>F78-E78</f>
        <v>2.5950000000000006</v>
      </c>
      <c r="I78" s="16"/>
      <c r="J78" s="16">
        <f t="shared" ref="J78:J79" si="10">D78/($E$11-$E$12)*$J$10</f>
        <v>0.39229345510450736</v>
      </c>
      <c r="K78" s="16">
        <f t="shared" si="5"/>
        <v>2.9872934551045081</v>
      </c>
      <c r="M78" s="13" t="s">
        <v>69</v>
      </c>
    </row>
    <row r="79" spans="1:13" x14ac:dyDescent="0.25">
      <c r="A79" s="1">
        <v>38</v>
      </c>
      <c r="B79" s="47">
        <v>45946</v>
      </c>
      <c r="C79" s="66">
        <v>43441344</v>
      </c>
      <c r="D79" s="114">
        <v>62.8</v>
      </c>
      <c r="E79" s="5">
        <v>28.803999999999998</v>
      </c>
      <c r="F79" s="5">
        <v>31.044</v>
      </c>
      <c r="G79" s="28">
        <f>F79-E79</f>
        <v>2.240000000000002</v>
      </c>
      <c r="H79" s="16">
        <f t="shared" si="0"/>
        <v>1.9259520000000017</v>
      </c>
      <c r="I79" s="16"/>
      <c r="J79" s="16">
        <f t="shared" si="10"/>
        <v>0.21918175249611263</v>
      </c>
      <c r="K79" s="16">
        <f t="shared" si="5"/>
        <v>2.1451337524961143</v>
      </c>
      <c r="M79" s="13" t="s">
        <v>69</v>
      </c>
    </row>
    <row r="80" spans="1:13" x14ac:dyDescent="0.25">
      <c r="A80" s="1">
        <v>39</v>
      </c>
      <c r="B80" s="33"/>
      <c r="C80" s="66">
        <v>43441341</v>
      </c>
      <c r="D80" s="109">
        <v>50.5</v>
      </c>
      <c r="E80" s="5">
        <v>6.5490000000000004</v>
      </c>
      <c r="F80" s="5">
        <v>8.0489999999999995</v>
      </c>
      <c r="G80" s="28"/>
      <c r="H80" s="16">
        <f t="shared" si="0"/>
        <v>0</v>
      </c>
      <c r="I80" s="16">
        <f>((D80*0.015)*12)/7</f>
        <v>1.2985714285714285</v>
      </c>
      <c r="J80" s="16"/>
      <c r="K80" s="16">
        <f t="shared" si="5"/>
        <v>1.2985714285714285</v>
      </c>
      <c r="M80" s="13" t="s">
        <v>71</v>
      </c>
    </row>
    <row r="81" spans="1:14" x14ac:dyDescent="0.25">
      <c r="A81" s="1">
        <v>40</v>
      </c>
      <c r="B81" s="47">
        <v>45594</v>
      </c>
      <c r="C81" s="10" t="s">
        <v>72</v>
      </c>
      <c r="D81" s="109">
        <v>52.3</v>
      </c>
      <c r="E81" s="39">
        <v>1.3703000000000001</v>
      </c>
      <c r="F81" s="39">
        <v>1.6006</v>
      </c>
      <c r="G81" s="58"/>
      <c r="H81" s="16">
        <f>F81-E81</f>
        <v>0.23029999999999995</v>
      </c>
      <c r="I81" s="16"/>
      <c r="J81" s="16">
        <f t="shared" ref="J81:J85" si="11">D81/($E$11-$E$12)*$J$10</f>
        <v>0.18253512190360971</v>
      </c>
      <c r="K81" s="16">
        <f t="shared" si="5"/>
        <v>0.41283512190360966</v>
      </c>
      <c r="M81" s="13" t="s">
        <v>69</v>
      </c>
    </row>
    <row r="82" spans="1:14" x14ac:dyDescent="0.25">
      <c r="A82" s="1">
        <v>41</v>
      </c>
      <c r="B82" s="47">
        <v>45573</v>
      </c>
      <c r="C82" s="66">
        <v>43441283</v>
      </c>
      <c r="D82" s="109">
        <v>53</v>
      </c>
      <c r="E82" s="5">
        <v>14.95</v>
      </c>
      <c r="F82" s="5">
        <v>15.15</v>
      </c>
      <c r="G82" s="28">
        <f>F82-E82</f>
        <v>0.20000000000000107</v>
      </c>
      <c r="H82" s="16">
        <f t="shared" si="0"/>
        <v>0.17196000000000092</v>
      </c>
      <c r="I82" s="16"/>
      <c r="J82" s="16">
        <f t="shared" si="11"/>
        <v>0.18497823060977658</v>
      </c>
      <c r="K82" s="16">
        <f t="shared" si="5"/>
        <v>0.35693823060977747</v>
      </c>
      <c r="M82" s="13" t="s">
        <v>69</v>
      </c>
    </row>
    <row r="83" spans="1:14" x14ac:dyDescent="0.25">
      <c r="A83" s="1">
        <v>42</v>
      </c>
      <c r="B83" s="47">
        <v>45459</v>
      </c>
      <c r="C83" s="10" t="s">
        <v>57</v>
      </c>
      <c r="D83" s="109">
        <v>100.1</v>
      </c>
      <c r="E83" s="39">
        <f>9.3561</f>
        <v>9.3560999999999996</v>
      </c>
      <c r="F83" s="39">
        <v>10.829000000000001</v>
      </c>
      <c r="G83" s="58"/>
      <c r="H83" s="16">
        <f>F83-E83</f>
        <v>1.472900000000001</v>
      </c>
      <c r="I83" s="16"/>
      <c r="J83" s="16">
        <f t="shared" si="11"/>
        <v>0.34936454498186109</v>
      </c>
      <c r="K83" s="16">
        <f t="shared" si="5"/>
        <v>1.822264544981862</v>
      </c>
      <c r="M83" s="13" t="s">
        <v>69</v>
      </c>
    </row>
    <row r="84" spans="1:14" x14ac:dyDescent="0.25">
      <c r="A84" s="1">
        <v>43</v>
      </c>
      <c r="B84" s="48">
        <v>45866</v>
      </c>
      <c r="C84" s="66">
        <v>43441342</v>
      </c>
      <c r="D84" s="109">
        <v>69.3</v>
      </c>
      <c r="E84" s="5">
        <v>8.3390000000000004</v>
      </c>
      <c r="F84" s="5">
        <v>8.3390000000000004</v>
      </c>
      <c r="G84" s="28">
        <f>F84-E84</f>
        <v>0</v>
      </c>
      <c r="H84" s="16">
        <f t="shared" si="0"/>
        <v>0</v>
      </c>
      <c r="I84" s="16"/>
      <c r="J84" s="16">
        <f t="shared" si="11"/>
        <v>0.24186776191051923</v>
      </c>
      <c r="K84" s="16">
        <f t="shared" si="5"/>
        <v>0.24186776191051923</v>
      </c>
      <c r="M84" s="13" t="s">
        <v>69</v>
      </c>
    </row>
    <row r="85" spans="1:14" x14ac:dyDescent="0.25">
      <c r="A85" s="1">
        <v>44</v>
      </c>
      <c r="B85" s="47">
        <v>45747</v>
      </c>
      <c r="C85" s="66">
        <v>43441345</v>
      </c>
      <c r="D85" s="109">
        <v>53.3</v>
      </c>
      <c r="E85" s="5">
        <v>19.036000000000001</v>
      </c>
      <c r="F85" s="5">
        <v>19.036000000000001</v>
      </c>
      <c r="G85" s="28">
        <f>F85-E85</f>
        <v>0</v>
      </c>
      <c r="H85" s="16">
        <f t="shared" si="0"/>
        <v>0</v>
      </c>
      <c r="I85" s="16"/>
      <c r="J85" s="16">
        <f t="shared" si="11"/>
        <v>0.1860252771981338</v>
      </c>
      <c r="K85" s="16">
        <f t="shared" si="5"/>
        <v>0.1860252771981338</v>
      </c>
      <c r="M85" s="13" t="s">
        <v>69</v>
      </c>
    </row>
    <row r="86" spans="1:14" x14ac:dyDescent="0.25">
      <c r="A86" s="1">
        <v>45</v>
      </c>
      <c r="B86" s="33"/>
      <c r="C86" s="66">
        <v>43441348</v>
      </c>
      <c r="D86" s="109">
        <v>52.9</v>
      </c>
      <c r="E86" s="5">
        <v>54.07</v>
      </c>
      <c r="F86" s="5">
        <v>55.771000000000001</v>
      </c>
      <c r="G86" s="28"/>
      <c r="H86" s="16">
        <f t="shared" si="0"/>
        <v>0</v>
      </c>
      <c r="I86" s="16">
        <f>((D86*0.015)*12)/7</f>
        <v>1.3602857142857143</v>
      </c>
      <c r="J86" s="16"/>
      <c r="K86" s="16">
        <f t="shared" si="5"/>
        <v>1.3602857142857143</v>
      </c>
      <c r="M86" s="13" t="s">
        <v>71</v>
      </c>
    </row>
    <row r="87" spans="1:14" x14ac:dyDescent="0.25">
      <c r="A87" s="1">
        <v>46</v>
      </c>
      <c r="B87" s="52">
        <v>45866</v>
      </c>
      <c r="C87" s="66">
        <v>43441349</v>
      </c>
      <c r="D87" s="109">
        <v>100.9</v>
      </c>
      <c r="E87" s="5">
        <v>24.917999999999999</v>
      </c>
      <c r="F87" s="5">
        <v>25.016999999999999</v>
      </c>
      <c r="G87" s="28">
        <f>F87-E87</f>
        <v>9.9000000000000199E-2</v>
      </c>
      <c r="H87" s="16">
        <f t="shared" si="0"/>
        <v>8.5120200000000174E-2</v>
      </c>
      <c r="I87" s="16"/>
      <c r="J87" s="16">
        <f t="shared" ref="J87:J91" si="12">D87/($E$11-$E$12)*$J$10</f>
        <v>0.35215666921748034</v>
      </c>
      <c r="K87" s="16">
        <f t="shared" si="5"/>
        <v>0.43727686921748055</v>
      </c>
      <c r="M87" s="13" t="s">
        <v>69</v>
      </c>
    </row>
    <row r="88" spans="1:14" x14ac:dyDescent="0.25">
      <c r="A88" s="1">
        <v>47</v>
      </c>
      <c r="B88" s="47">
        <v>45459</v>
      </c>
      <c r="C88" s="66" t="s">
        <v>108</v>
      </c>
      <c r="D88" s="114">
        <v>85.4</v>
      </c>
      <c r="E88" s="39">
        <v>0</v>
      </c>
      <c r="F88" s="39">
        <v>1.7787999999999999</v>
      </c>
      <c r="G88" s="5"/>
      <c r="H88" s="16">
        <f>F88-E88</f>
        <v>1.7787999999999999</v>
      </c>
      <c r="I88" s="16"/>
      <c r="J88" s="16">
        <f t="shared" si="12"/>
        <v>0.29805926215235701</v>
      </c>
      <c r="K88" s="16">
        <f t="shared" si="5"/>
        <v>2.0768592621523569</v>
      </c>
      <c r="M88" s="13" t="s">
        <v>69</v>
      </c>
      <c r="N88" s="12"/>
    </row>
    <row r="89" spans="1:14" x14ac:dyDescent="0.25">
      <c r="A89" s="1">
        <v>48</v>
      </c>
      <c r="B89" s="48">
        <v>45769</v>
      </c>
      <c r="C89" s="66">
        <v>43441356</v>
      </c>
      <c r="D89" s="114">
        <v>53.2</v>
      </c>
      <c r="E89" s="5">
        <v>40.033999999999999</v>
      </c>
      <c r="F89" s="5">
        <v>42.127000000000002</v>
      </c>
      <c r="G89" s="5">
        <f>F89-E89</f>
        <v>2.0930000000000035</v>
      </c>
      <c r="H89" s="16">
        <f>G89*0.8598</f>
        <v>1.7995614000000031</v>
      </c>
      <c r="I89" s="16"/>
      <c r="J89" s="16">
        <f t="shared" si="12"/>
        <v>0.18567626166868142</v>
      </c>
      <c r="K89" s="16">
        <f t="shared" si="5"/>
        <v>1.9852376616686844</v>
      </c>
      <c r="M89" s="13" t="s">
        <v>69</v>
      </c>
    </row>
    <row r="90" spans="1:14" x14ac:dyDescent="0.25">
      <c r="A90" s="1">
        <v>49</v>
      </c>
      <c r="B90" s="47">
        <v>45607</v>
      </c>
      <c r="C90" s="66">
        <v>43441343</v>
      </c>
      <c r="D90" s="114">
        <v>53.3</v>
      </c>
      <c r="E90" s="5">
        <v>15.058999999999999</v>
      </c>
      <c r="F90" s="5">
        <v>16.396999999999998</v>
      </c>
      <c r="G90" s="5">
        <f>F90-E90</f>
        <v>1.3379999999999992</v>
      </c>
      <c r="H90" s="16">
        <f t="shared" si="0"/>
        <v>1.1504123999999993</v>
      </c>
      <c r="I90" s="16"/>
      <c r="J90" s="16">
        <f t="shared" si="12"/>
        <v>0.1860252771981338</v>
      </c>
      <c r="K90" s="16">
        <f t="shared" si="5"/>
        <v>1.3364376771981332</v>
      </c>
      <c r="L90" s="24"/>
      <c r="M90" s="13" t="s">
        <v>69</v>
      </c>
    </row>
    <row r="91" spans="1:14" x14ac:dyDescent="0.25">
      <c r="A91" s="1">
        <v>50</v>
      </c>
      <c r="B91" s="52">
        <v>45846</v>
      </c>
      <c r="C91" s="66">
        <v>43441352</v>
      </c>
      <c r="D91" s="114">
        <v>99.5</v>
      </c>
      <c r="E91" s="5">
        <v>77.123999999999995</v>
      </c>
      <c r="F91" s="5">
        <v>79.182000000000002</v>
      </c>
      <c r="G91" s="5">
        <f>F91-E91</f>
        <v>2.0580000000000069</v>
      </c>
      <c r="H91" s="16">
        <f>G91*0.8598</f>
        <v>1.769468400000006</v>
      </c>
      <c r="I91" s="16"/>
      <c r="J91" s="16">
        <f t="shared" si="12"/>
        <v>0.34727045180514665</v>
      </c>
      <c r="K91" s="16">
        <f t="shared" si="5"/>
        <v>2.1167388518051529</v>
      </c>
      <c r="L91" s="24"/>
      <c r="M91" s="13" t="s">
        <v>69</v>
      </c>
    </row>
    <row r="92" spans="1:14" x14ac:dyDescent="0.25">
      <c r="A92" s="1">
        <v>51</v>
      </c>
      <c r="B92" s="38"/>
      <c r="C92" s="66">
        <v>43441357</v>
      </c>
      <c r="D92" s="114">
        <v>84.8</v>
      </c>
      <c r="E92" s="5">
        <v>90.488</v>
      </c>
      <c r="F92" s="5">
        <v>90.488</v>
      </c>
      <c r="G92" s="5"/>
      <c r="H92" s="16">
        <f t="shared" si="0"/>
        <v>0</v>
      </c>
      <c r="I92" s="16">
        <f>((D92*0.015)*12)/7</f>
        <v>2.1805714285714286</v>
      </c>
      <c r="J92" s="16"/>
      <c r="K92" s="16">
        <f t="shared" si="5"/>
        <v>2.1805714285714286</v>
      </c>
      <c r="L92" s="24"/>
      <c r="M92" s="13" t="s">
        <v>71</v>
      </c>
    </row>
    <row r="93" spans="1:14" x14ac:dyDescent="0.25">
      <c r="A93" s="1">
        <v>52</v>
      </c>
      <c r="B93" s="38"/>
      <c r="C93" s="66">
        <v>43441355</v>
      </c>
      <c r="D93" s="114">
        <v>52.9</v>
      </c>
      <c r="E93" s="5">
        <v>43.597000000000001</v>
      </c>
      <c r="F93" s="5">
        <v>44.957000000000001</v>
      </c>
      <c r="G93" s="5"/>
      <c r="H93" s="16">
        <f>G93*0.8598</f>
        <v>0</v>
      </c>
      <c r="I93" s="16">
        <f>((D93*0.015)*12)/7</f>
        <v>1.3602857142857143</v>
      </c>
      <c r="J93" s="16"/>
      <c r="K93" s="16">
        <f t="shared" si="5"/>
        <v>1.3602857142857143</v>
      </c>
      <c r="L93" s="24"/>
      <c r="M93" s="13" t="s">
        <v>71</v>
      </c>
    </row>
    <row r="94" spans="1:14" x14ac:dyDescent="0.25">
      <c r="A94" s="1">
        <v>53</v>
      </c>
      <c r="B94" s="48">
        <v>45635</v>
      </c>
      <c r="C94" s="66">
        <v>43441358</v>
      </c>
      <c r="D94" s="114">
        <v>52.8</v>
      </c>
      <c r="E94" s="5">
        <v>18.248999999999999</v>
      </c>
      <c r="F94" s="5">
        <v>18.41</v>
      </c>
      <c r="G94" s="5">
        <f>F94-E94</f>
        <v>0.16100000000000136</v>
      </c>
      <c r="H94" s="16">
        <f t="shared" si="0"/>
        <v>0.13842780000000118</v>
      </c>
      <c r="I94" s="16"/>
      <c r="J94" s="16">
        <f t="shared" ref="J94:J95" si="13">D94/($E$11-$E$12)*$J$10</f>
        <v>0.1842801995508718</v>
      </c>
      <c r="K94" s="16">
        <f t="shared" si="5"/>
        <v>0.32270799955087298</v>
      </c>
      <c r="L94" s="24"/>
      <c r="M94" s="13" t="s">
        <v>69</v>
      </c>
    </row>
    <row r="95" spans="1:14" x14ac:dyDescent="0.25">
      <c r="A95" s="1">
        <v>54</v>
      </c>
      <c r="B95" s="47">
        <v>45725</v>
      </c>
      <c r="C95" s="10" t="s">
        <v>102</v>
      </c>
      <c r="D95" s="89">
        <v>101</v>
      </c>
      <c r="E95" s="39">
        <v>1.6534</v>
      </c>
      <c r="F95" s="39">
        <v>2.7793999999999999</v>
      </c>
      <c r="G95" s="5"/>
      <c r="H95" s="16">
        <f>F95-E95</f>
        <v>1.1259999999999999</v>
      </c>
      <c r="I95" s="16"/>
      <c r="J95" s="16">
        <f t="shared" si="13"/>
        <v>0.35250568474693272</v>
      </c>
      <c r="K95" s="16">
        <f t="shared" si="5"/>
        <v>1.4785056847469327</v>
      </c>
      <c r="L95" s="24"/>
      <c r="M95" s="13" t="s">
        <v>69</v>
      </c>
    </row>
    <row r="96" spans="1:14" x14ac:dyDescent="0.25">
      <c r="A96" s="1">
        <v>55</v>
      </c>
      <c r="B96" s="33"/>
      <c r="C96" s="66">
        <v>43441053</v>
      </c>
      <c r="D96" s="114">
        <v>85.2</v>
      </c>
      <c r="E96" s="5">
        <v>45.667999999999999</v>
      </c>
      <c r="F96" s="5">
        <v>45.667999999999999</v>
      </c>
      <c r="G96" s="5"/>
      <c r="H96" s="16">
        <f t="shared" si="0"/>
        <v>0</v>
      </c>
      <c r="I96" s="16">
        <f>((D96*0.015)*12)/7</f>
        <v>2.1908571428571428</v>
      </c>
      <c r="J96" s="16"/>
      <c r="K96" s="16">
        <f>H96+I96+J96</f>
        <v>2.1908571428571428</v>
      </c>
      <c r="L96" s="24"/>
      <c r="M96" s="13" t="s">
        <v>71</v>
      </c>
    </row>
    <row r="97" spans="1:13" x14ac:dyDescent="0.25">
      <c r="A97" s="1">
        <v>56</v>
      </c>
      <c r="B97" s="33" t="s">
        <v>120</v>
      </c>
      <c r="C97" s="66">
        <v>43441050</v>
      </c>
      <c r="D97" s="114">
        <v>52.5</v>
      </c>
      <c r="E97" s="5">
        <v>30.963000000000001</v>
      </c>
      <c r="F97" s="5">
        <v>30.963000000000001</v>
      </c>
      <c r="G97" s="5"/>
      <c r="H97" s="16">
        <f t="shared" si="0"/>
        <v>0</v>
      </c>
      <c r="I97" s="16">
        <f>((D97*0.015)*12)/7</f>
        <v>1.3499999999999999</v>
      </c>
      <c r="J97" s="16"/>
      <c r="K97" s="16">
        <f t="shared" si="5"/>
        <v>1.3499999999999999</v>
      </c>
      <c r="L97" s="24"/>
      <c r="M97" s="13" t="s">
        <v>71</v>
      </c>
    </row>
    <row r="98" spans="1:13" x14ac:dyDescent="0.25">
      <c r="A98" s="1">
        <v>57</v>
      </c>
      <c r="B98" s="33"/>
      <c r="C98" s="66">
        <v>43441051</v>
      </c>
      <c r="D98" s="114">
        <v>52.4</v>
      </c>
      <c r="E98" s="5">
        <v>35.579000000000001</v>
      </c>
      <c r="F98" s="5">
        <v>36.442999999999998</v>
      </c>
      <c r="G98" s="5"/>
      <c r="H98" s="16">
        <f t="shared" si="0"/>
        <v>0</v>
      </c>
      <c r="I98" s="16">
        <f>((D98*0.015)*12)/7</f>
        <v>1.3474285714285712</v>
      </c>
      <c r="J98" s="16"/>
      <c r="K98" s="16">
        <f t="shared" si="5"/>
        <v>1.3474285714285712</v>
      </c>
      <c r="L98" s="24"/>
      <c r="M98" s="13" t="s">
        <v>71</v>
      </c>
    </row>
    <row r="99" spans="1:13" x14ac:dyDescent="0.25">
      <c r="A99" s="1">
        <v>58</v>
      </c>
      <c r="B99" s="33"/>
      <c r="C99" s="66">
        <v>43441052</v>
      </c>
      <c r="D99" s="114">
        <v>101.3</v>
      </c>
      <c r="E99" s="5">
        <v>48.856000000000002</v>
      </c>
      <c r="F99" s="5">
        <v>50.496000000000002</v>
      </c>
      <c r="G99" s="5"/>
      <c r="H99" s="16">
        <f t="shared" si="0"/>
        <v>0</v>
      </c>
      <c r="I99" s="16">
        <f>((D99*0.015)*12)/7</f>
        <v>2.6048571428571425</v>
      </c>
      <c r="J99" s="16"/>
      <c r="K99" s="16">
        <f t="shared" si="5"/>
        <v>2.6048571428571425</v>
      </c>
      <c r="L99" s="24"/>
      <c r="M99" s="13" t="s">
        <v>71</v>
      </c>
    </row>
    <row r="100" spans="1:13" x14ac:dyDescent="0.25">
      <c r="A100" s="1">
        <v>59</v>
      </c>
      <c r="B100" s="47">
        <v>45754</v>
      </c>
      <c r="C100" s="66">
        <v>43441057</v>
      </c>
      <c r="D100" s="114">
        <v>85.3</v>
      </c>
      <c r="E100" s="5">
        <v>21.922999999999998</v>
      </c>
      <c r="F100" s="5">
        <v>23.416</v>
      </c>
      <c r="G100" s="5">
        <f>F100-E100</f>
        <v>1.4930000000000021</v>
      </c>
      <c r="H100" s="16">
        <f t="shared" si="0"/>
        <v>1.2836814000000019</v>
      </c>
      <c r="I100" s="16"/>
      <c r="J100" s="16">
        <f t="shared" ref="J100:J104" si="14">D100/($E$11-$E$12)*$J$10</f>
        <v>0.29771024662290457</v>
      </c>
      <c r="K100" s="16">
        <f>H100+I100+J100</f>
        <v>1.5813916466229063</v>
      </c>
      <c r="L100" s="24"/>
      <c r="M100" s="13" t="s">
        <v>69</v>
      </c>
    </row>
    <row r="101" spans="1:13" x14ac:dyDescent="0.25">
      <c r="A101" s="1">
        <v>60</v>
      </c>
      <c r="B101" s="47">
        <v>45703</v>
      </c>
      <c r="C101" s="66">
        <v>43441058</v>
      </c>
      <c r="D101" s="114">
        <v>52.5</v>
      </c>
      <c r="E101" s="5">
        <v>7.508</v>
      </c>
      <c r="F101" s="5">
        <v>8.7330000000000005</v>
      </c>
      <c r="G101" s="5">
        <f>F101-E101</f>
        <v>1.2250000000000005</v>
      </c>
      <c r="H101" s="16">
        <f>G101*0.8598</f>
        <v>1.0532550000000005</v>
      </c>
      <c r="I101" s="16"/>
      <c r="J101" s="16">
        <f t="shared" si="14"/>
        <v>0.18323315296251455</v>
      </c>
      <c r="K101" s="16">
        <f t="shared" si="5"/>
        <v>1.2364881529625151</v>
      </c>
      <c r="M101" s="13" t="s">
        <v>69</v>
      </c>
    </row>
    <row r="102" spans="1:13" x14ac:dyDescent="0.25">
      <c r="A102" s="1">
        <v>61</v>
      </c>
      <c r="B102" s="48">
        <v>45517</v>
      </c>
      <c r="C102" s="66">
        <v>43441054</v>
      </c>
      <c r="D102" s="114">
        <v>52.3</v>
      </c>
      <c r="E102" s="5">
        <v>17.122</v>
      </c>
      <c r="F102" s="5">
        <v>18.178999999999998</v>
      </c>
      <c r="G102" s="5">
        <f>F102-E102</f>
        <v>1.0569999999999986</v>
      </c>
      <c r="H102" s="16">
        <f t="shared" si="0"/>
        <v>0.90880859999999886</v>
      </c>
      <c r="I102" s="16"/>
      <c r="J102" s="16">
        <f t="shared" si="14"/>
        <v>0.18253512190360971</v>
      </c>
      <c r="K102" s="16">
        <f t="shared" si="5"/>
        <v>1.0913437219036086</v>
      </c>
      <c r="M102" s="13" t="s">
        <v>69</v>
      </c>
    </row>
    <row r="103" spans="1:13" x14ac:dyDescent="0.25">
      <c r="A103" s="1">
        <v>62</v>
      </c>
      <c r="B103" s="47">
        <v>45907</v>
      </c>
      <c r="C103" s="66">
        <v>43441056</v>
      </c>
      <c r="D103" s="114">
        <v>100.5</v>
      </c>
      <c r="E103" s="5">
        <v>34.847999999999999</v>
      </c>
      <c r="F103" s="5">
        <v>36.17</v>
      </c>
      <c r="G103" s="5">
        <f>F103-E103</f>
        <v>1.3220000000000027</v>
      </c>
      <c r="H103" s="16">
        <f t="shared" si="0"/>
        <v>1.1366556000000023</v>
      </c>
      <c r="I103" s="16"/>
      <c r="J103" s="16">
        <f t="shared" si="14"/>
        <v>0.35076060709967072</v>
      </c>
      <c r="K103" s="16">
        <f t="shared" si="5"/>
        <v>1.487416207099673</v>
      </c>
      <c r="M103" s="13" t="s">
        <v>69</v>
      </c>
    </row>
    <row r="104" spans="1:13" x14ac:dyDescent="0.25">
      <c r="A104" s="1">
        <v>63</v>
      </c>
      <c r="B104" s="47">
        <v>45920</v>
      </c>
      <c r="C104" s="66">
        <v>43441064</v>
      </c>
      <c r="D104" s="114">
        <v>85.2</v>
      </c>
      <c r="E104" s="5">
        <v>26.484999999999999</v>
      </c>
      <c r="F104" s="5">
        <v>27.754000000000001</v>
      </c>
      <c r="G104" s="5">
        <f>F104-E104</f>
        <v>1.2690000000000019</v>
      </c>
      <c r="H104" s="16">
        <f t="shared" si="0"/>
        <v>1.0910862000000017</v>
      </c>
      <c r="I104" s="16"/>
      <c r="J104" s="16">
        <f t="shared" si="14"/>
        <v>0.29736123109345219</v>
      </c>
      <c r="K104" s="16">
        <f t="shared" si="5"/>
        <v>1.3884474310934538</v>
      </c>
      <c r="M104" s="13" t="s">
        <v>69</v>
      </c>
    </row>
    <row r="105" spans="1:13" x14ac:dyDescent="0.25">
      <c r="A105" s="1">
        <v>64</v>
      </c>
      <c r="B105" s="33"/>
      <c r="C105" s="66">
        <v>43441061</v>
      </c>
      <c r="D105" s="114">
        <v>52.7</v>
      </c>
      <c r="E105" s="5">
        <v>23.039000000000001</v>
      </c>
      <c r="F105" s="5">
        <v>23.795000000000002</v>
      </c>
      <c r="G105" s="5"/>
      <c r="H105" s="16">
        <f t="shared" si="0"/>
        <v>0</v>
      </c>
      <c r="I105" s="16">
        <f>((D105*0.015)*12)/7</f>
        <v>1.3551428571428572</v>
      </c>
      <c r="J105" s="16"/>
      <c r="K105" s="16">
        <f t="shared" si="5"/>
        <v>1.3551428571428572</v>
      </c>
      <c r="M105" s="13" t="s">
        <v>71</v>
      </c>
    </row>
    <row r="106" spans="1:13" x14ac:dyDescent="0.25">
      <c r="A106" s="1">
        <v>65</v>
      </c>
      <c r="B106" s="33"/>
      <c r="C106" s="66">
        <v>43441055</v>
      </c>
      <c r="D106" s="114">
        <v>53.1</v>
      </c>
      <c r="E106" s="5">
        <v>17.411999999999999</v>
      </c>
      <c r="F106" s="5">
        <v>17.472999999999999</v>
      </c>
      <c r="G106" s="5"/>
      <c r="H106" s="16">
        <f t="shared" si="0"/>
        <v>0</v>
      </c>
      <c r="I106" s="16">
        <f>((D106*0.015)*12)/7</f>
        <v>1.3654285714285714</v>
      </c>
      <c r="J106" s="16"/>
      <c r="K106" s="16">
        <f t="shared" si="5"/>
        <v>1.3654285714285714</v>
      </c>
      <c r="M106" s="13" t="s">
        <v>71</v>
      </c>
    </row>
    <row r="107" spans="1:13" x14ac:dyDescent="0.25">
      <c r="A107" s="1">
        <v>66</v>
      </c>
      <c r="B107" s="47">
        <v>45580</v>
      </c>
      <c r="C107" s="66">
        <v>43441063</v>
      </c>
      <c r="D107" s="114">
        <v>101.1</v>
      </c>
      <c r="E107" s="5">
        <v>7.6</v>
      </c>
      <c r="F107" s="5">
        <v>7.6669999999999998</v>
      </c>
      <c r="G107" s="5">
        <f>F107-E107</f>
        <v>6.7000000000000171E-2</v>
      </c>
      <c r="H107" s="16">
        <f t="shared" ref="H107:H122" si="15">G107*0.8598</f>
        <v>5.7606600000000147E-2</v>
      </c>
      <c r="I107" s="16"/>
      <c r="J107" s="16">
        <f t="shared" ref="J107:J110" si="16">D107/($E$11-$E$12)*$J$10</f>
        <v>0.3528547002763851</v>
      </c>
      <c r="K107" s="16">
        <f t="shared" si="5"/>
        <v>0.41046130027638528</v>
      </c>
      <c r="M107" s="13" t="s">
        <v>69</v>
      </c>
    </row>
    <row r="108" spans="1:13" x14ac:dyDescent="0.25">
      <c r="A108" s="1">
        <v>67</v>
      </c>
      <c r="B108" s="47">
        <v>45870</v>
      </c>
      <c r="C108" s="66">
        <v>43441067</v>
      </c>
      <c r="D108" s="114">
        <v>84.7</v>
      </c>
      <c r="E108" s="5">
        <f>16.49+1.2705</f>
        <v>17.760499999999997</v>
      </c>
      <c r="F108" s="5">
        <f>16.49+1.2705+1.2705</f>
        <v>19.030999999999995</v>
      </c>
      <c r="G108" s="5">
        <f>F108-E108</f>
        <v>1.2704999999999984</v>
      </c>
      <c r="H108" s="16">
        <f t="shared" si="15"/>
        <v>1.0923758999999986</v>
      </c>
      <c r="I108" s="16"/>
      <c r="J108" s="16">
        <f t="shared" si="16"/>
        <v>0.29561615344619013</v>
      </c>
      <c r="K108" s="16">
        <f t="shared" si="5"/>
        <v>1.3879920534461887</v>
      </c>
      <c r="M108" s="13" t="s">
        <v>69</v>
      </c>
    </row>
    <row r="109" spans="1:13" x14ac:dyDescent="0.25">
      <c r="A109" s="1">
        <v>68</v>
      </c>
      <c r="B109" s="47">
        <v>45790</v>
      </c>
      <c r="C109" s="66">
        <v>43441065</v>
      </c>
      <c r="D109" s="114">
        <v>52.7</v>
      </c>
      <c r="E109" s="5">
        <v>25.39</v>
      </c>
      <c r="F109" s="5">
        <v>26.308</v>
      </c>
      <c r="G109" s="5">
        <f>F109-E109</f>
        <v>0.91799999999999926</v>
      </c>
      <c r="H109" s="16">
        <f>G109*0.8598</f>
        <v>0.78929639999999934</v>
      </c>
      <c r="I109" s="16"/>
      <c r="J109" s="16">
        <f t="shared" si="16"/>
        <v>0.18393118402141942</v>
      </c>
      <c r="K109" s="16">
        <f t="shared" si="5"/>
        <v>0.97322758402141873</v>
      </c>
      <c r="M109" s="13" t="s">
        <v>69</v>
      </c>
    </row>
    <row r="110" spans="1:13" x14ac:dyDescent="0.25">
      <c r="A110" s="1">
        <v>69</v>
      </c>
      <c r="B110" s="47">
        <v>45768</v>
      </c>
      <c r="C110" s="66">
        <v>43441060</v>
      </c>
      <c r="D110" s="114">
        <v>53.3</v>
      </c>
      <c r="E110" s="5">
        <v>22.997</v>
      </c>
      <c r="F110" s="5">
        <v>23.498000000000001</v>
      </c>
      <c r="G110" s="5">
        <f>F110-E110</f>
        <v>0.50100000000000122</v>
      </c>
      <c r="H110" s="16">
        <f t="shared" si="15"/>
        <v>0.43075980000000108</v>
      </c>
      <c r="I110" s="16"/>
      <c r="J110" s="16">
        <f t="shared" si="16"/>
        <v>0.1860252771981338</v>
      </c>
      <c r="K110" s="16">
        <f t="shared" si="5"/>
        <v>0.61678507719813491</v>
      </c>
      <c r="M110" s="13" t="s">
        <v>69</v>
      </c>
    </row>
    <row r="111" spans="1:13" x14ac:dyDescent="0.25">
      <c r="A111" s="1">
        <v>70</v>
      </c>
      <c r="B111" s="33"/>
      <c r="C111" s="66">
        <v>43441066</v>
      </c>
      <c r="D111" s="114">
        <v>101.3</v>
      </c>
      <c r="E111" s="5">
        <v>56.709000000000003</v>
      </c>
      <c r="F111" s="5">
        <v>58.136000000000003</v>
      </c>
      <c r="G111" s="5"/>
      <c r="H111" s="16">
        <f t="shared" si="15"/>
        <v>0</v>
      </c>
      <c r="I111" s="16">
        <f t="shared" ref="I111:I117" si="17">((D111*0.015)*12)/7</f>
        <v>2.6048571428571425</v>
      </c>
      <c r="J111" s="16"/>
      <c r="K111" s="16">
        <f t="shared" si="5"/>
        <v>2.6048571428571425</v>
      </c>
      <c r="M111" s="13" t="s">
        <v>71</v>
      </c>
    </row>
    <row r="112" spans="1:13" x14ac:dyDescent="0.25">
      <c r="A112" s="1">
        <v>71</v>
      </c>
      <c r="B112" s="33"/>
      <c r="C112" s="66">
        <v>43441350</v>
      </c>
      <c r="D112" s="114">
        <v>85.7</v>
      </c>
      <c r="E112" s="5">
        <v>72.227999999999994</v>
      </c>
      <c r="F112" s="5">
        <v>72.227999999999994</v>
      </c>
      <c r="G112" s="5"/>
      <c r="H112" s="16">
        <f t="shared" si="15"/>
        <v>0</v>
      </c>
      <c r="I112" s="16">
        <f t="shared" si="17"/>
        <v>2.2037142857142862</v>
      </c>
      <c r="J112" s="16"/>
      <c r="K112" s="16">
        <f t="shared" si="5"/>
        <v>2.2037142857142862</v>
      </c>
      <c r="M112" s="13" t="s">
        <v>71</v>
      </c>
    </row>
    <row r="113" spans="1:15" x14ac:dyDescent="0.25">
      <c r="A113" s="1">
        <v>72</v>
      </c>
      <c r="B113" s="33"/>
      <c r="C113" s="66">
        <v>43441353</v>
      </c>
      <c r="D113" s="114">
        <v>52.8</v>
      </c>
      <c r="E113" s="5">
        <v>27.547999999999998</v>
      </c>
      <c r="F113" s="5">
        <v>28.731000000000002</v>
      </c>
      <c r="G113" s="5"/>
      <c r="H113" s="16">
        <f t="shared" si="15"/>
        <v>0</v>
      </c>
      <c r="I113" s="16">
        <f t="shared" si="17"/>
        <v>1.3577142857142857</v>
      </c>
      <c r="J113" s="16"/>
      <c r="K113" s="16">
        <f t="shared" si="5"/>
        <v>1.3577142857142857</v>
      </c>
      <c r="M113" s="13" t="s">
        <v>71</v>
      </c>
    </row>
    <row r="114" spans="1:15" x14ac:dyDescent="0.25">
      <c r="A114" s="1">
        <v>73</v>
      </c>
      <c r="B114" s="33"/>
      <c r="C114" s="66">
        <v>43441062</v>
      </c>
      <c r="D114" s="114">
        <v>52.8</v>
      </c>
      <c r="E114" s="5">
        <v>11.364000000000001</v>
      </c>
      <c r="F114" s="5">
        <v>11.945</v>
      </c>
      <c r="G114" s="5"/>
      <c r="H114" s="16">
        <f t="shared" si="15"/>
        <v>0</v>
      </c>
      <c r="I114" s="16">
        <f t="shared" si="17"/>
        <v>1.3577142857142857</v>
      </c>
      <c r="J114" s="16"/>
      <c r="K114" s="16">
        <f t="shared" si="5"/>
        <v>1.3577142857142857</v>
      </c>
      <c r="M114" s="13" t="s">
        <v>71</v>
      </c>
    </row>
    <row r="115" spans="1:15" ht="15.75" thickBot="1" x14ac:dyDescent="0.3">
      <c r="A115" s="15">
        <v>74</v>
      </c>
      <c r="B115" s="35"/>
      <c r="C115" s="68">
        <v>43441059</v>
      </c>
      <c r="D115" s="90">
        <v>100.6</v>
      </c>
      <c r="E115" s="8">
        <v>40.414999999999999</v>
      </c>
      <c r="F115" s="8">
        <v>42.893999999999998</v>
      </c>
      <c r="G115" s="8"/>
      <c r="H115" s="91">
        <f t="shared" si="15"/>
        <v>0</v>
      </c>
      <c r="I115" s="16">
        <f t="shared" si="17"/>
        <v>2.5868571428571423</v>
      </c>
      <c r="J115" s="16"/>
      <c r="K115" s="16">
        <f>H115+I115+J115</f>
        <v>2.5868571428571423</v>
      </c>
      <c r="M115" s="13" t="s">
        <v>71</v>
      </c>
    </row>
    <row r="116" spans="1:15" ht="15.75" thickBot="1" x14ac:dyDescent="0.3">
      <c r="A116" s="219" t="s">
        <v>73</v>
      </c>
      <c r="B116" s="220"/>
      <c r="C116" s="220"/>
      <c r="D116" s="92">
        <f>SUM(D42:D115)</f>
        <v>5338.7000000000025</v>
      </c>
      <c r="E116" s="221" t="s">
        <v>74</v>
      </c>
      <c r="F116" s="221"/>
      <c r="G116" s="221"/>
      <c r="H116" s="64">
        <f>SUM(H42:H115)</f>
        <v>41.46863070000002</v>
      </c>
      <c r="I116" s="64">
        <f>SUM(I42:I115)</f>
        <v>54.344571428571427</v>
      </c>
      <c r="J116" s="64">
        <f>SUM(J42:J115)</f>
        <v>11.256797871428537</v>
      </c>
      <c r="K116" s="93">
        <f>SUM(K42:K115)</f>
        <v>107.06999999999995</v>
      </c>
      <c r="M116" s="13"/>
    </row>
    <row r="117" spans="1:15" x14ac:dyDescent="0.25">
      <c r="A117" s="9">
        <v>75</v>
      </c>
      <c r="B117" s="36"/>
      <c r="C117" s="69">
        <v>43441332</v>
      </c>
      <c r="D117" s="117">
        <v>85</v>
      </c>
      <c r="E117" s="6">
        <v>68.391999999999996</v>
      </c>
      <c r="F117" s="6">
        <v>70.528999999999996</v>
      </c>
      <c r="G117" s="6"/>
      <c r="H117" s="19">
        <f t="shared" si="15"/>
        <v>0</v>
      </c>
      <c r="I117" s="16">
        <f t="shared" si="17"/>
        <v>2.1857142857142855</v>
      </c>
      <c r="J117" s="16"/>
      <c r="K117" s="19">
        <f>H117+I117+J117</f>
        <v>2.1857142857142855</v>
      </c>
      <c r="M117" s="13" t="s">
        <v>71</v>
      </c>
    </row>
    <row r="118" spans="1:15" x14ac:dyDescent="0.25">
      <c r="A118" s="1">
        <v>76</v>
      </c>
      <c r="B118" s="47">
        <v>45939</v>
      </c>
      <c r="C118" s="66">
        <v>43441335</v>
      </c>
      <c r="D118" s="114">
        <v>58.3</v>
      </c>
      <c r="E118" s="5">
        <v>40.393999999999998</v>
      </c>
      <c r="F118" s="5">
        <v>42.435000000000002</v>
      </c>
      <c r="G118" s="5">
        <f>F118-E118</f>
        <v>2.0410000000000039</v>
      </c>
      <c r="H118" s="16">
        <f>G118*0.8598</f>
        <v>1.7548518000000033</v>
      </c>
      <c r="I118" s="19"/>
      <c r="J118" s="16">
        <f>D118/($E$18-$E$19)*$J$17</f>
        <v>0.47618403992501807</v>
      </c>
      <c r="K118" s="19">
        <f t="shared" ref="K118:K172" si="18">H118+I118+J118</f>
        <v>2.2310358399250214</v>
      </c>
      <c r="M118" s="13" t="s">
        <v>69</v>
      </c>
    </row>
    <row r="119" spans="1:15" x14ac:dyDescent="0.25">
      <c r="A119" s="1">
        <v>77</v>
      </c>
      <c r="B119" s="47">
        <v>45950</v>
      </c>
      <c r="C119" s="66">
        <v>43441338</v>
      </c>
      <c r="D119" s="114">
        <v>58.5</v>
      </c>
      <c r="E119" s="5">
        <v>44.530999999999999</v>
      </c>
      <c r="F119" s="5">
        <v>44.530999999999999</v>
      </c>
      <c r="G119" s="5">
        <f>F119-E119</f>
        <v>0</v>
      </c>
      <c r="H119" s="16">
        <f>G119*0.8598</f>
        <v>0</v>
      </c>
      <c r="I119" s="19"/>
      <c r="J119" s="16">
        <f>D119/($E$18-$E$19)*$J$17</f>
        <v>0.47781760438445214</v>
      </c>
      <c r="K119" s="19">
        <f t="shared" si="18"/>
        <v>0.47781760438445214</v>
      </c>
      <c r="M119" s="13" t="s">
        <v>69</v>
      </c>
    </row>
    <row r="120" spans="1:15" x14ac:dyDescent="0.25">
      <c r="A120" s="1">
        <v>78</v>
      </c>
      <c r="B120" s="47" t="s">
        <v>59</v>
      </c>
      <c r="C120" s="66" t="s">
        <v>109</v>
      </c>
      <c r="D120" s="114">
        <v>76.599999999999994</v>
      </c>
      <c r="E120" s="39">
        <v>0.90669999999999995</v>
      </c>
      <c r="F120" s="39">
        <v>2.7437</v>
      </c>
      <c r="G120" s="5"/>
      <c r="H120" s="16">
        <f>F120-E120</f>
        <v>1.8370000000000002</v>
      </c>
      <c r="I120" s="16"/>
      <c r="J120" s="16">
        <f>D120/($E$18-$E$19)*$J$17</f>
        <v>0.62565518796323127</v>
      </c>
      <c r="K120" s="19">
        <f t="shared" si="18"/>
        <v>2.4626551879632315</v>
      </c>
      <c r="M120" s="13" t="s">
        <v>69</v>
      </c>
    </row>
    <row r="121" spans="1:15" x14ac:dyDescent="0.25">
      <c r="A121" s="1">
        <v>79</v>
      </c>
      <c r="B121" s="47">
        <v>45747</v>
      </c>
      <c r="C121" s="66">
        <v>43441336</v>
      </c>
      <c r="D121" s="114">
        <v>85.7</v>
      </c>
      <c r="E121" s="5">
        <v>22</v>
      </c>
      <c r="F121" s="5">
        <v>22.523</v>
      </c>
      <c r="G121" s="5">
        <f>F121-E121</f>
        <v>0.52299999999999969</v>
      </c>
      <c r="H121" s="16">
        <f>G121*0.8598</f>
        <v>0.44967539999999973</v>
      </c>
      <c r="I121" s="19"/>
      <c r="J121" s="16">
        <f>D121/($E$18-$E$19)*$J$17</f>
        <v>0.69998237086747939</v>
      </c>
      <c r="K121" s="19">
        <f t="shared" si="18"/>
        <v>1.1496577708674791</v>
      </c>
      <c r="M121" s="13" t="s">
        <v>69</v>
      </c>
      <c r="O121" s="24"/>
    </row>
    <row r="122" spans="1:15" x14ac:dyDescent="0.25">
      <c r="A122" s="1">
        <v>80</v>
      </c>
      <c r="B122" s="33"/>
      <c r="C122" s="66">
        <v>43441339</v>
      </c>
      <c r="D122" s="114">
        <v>58.3</v>
      </c>
      <c r="E122" s="5">
        <v>37.515000000000001</v>
      </c>
      <c r="F122" s="5">
        <v>38.991999999999997</v>
      </c>
      <c r="G122" s="5"/>
      <c r="H122" s="16">
        <f t="shared" si="15"/>
        <v>0</v>
      </c>
      <c r="I122" s="16">
        <f>((D122*0.015)*12)/7</f>
        <v>1.4991428571428571</v>
      </c>
      <c r="J122" s="16"/>
      <c r="K122" s="19">
        <f t="shared" si="18"/>
        <v>1.4991428571428571</v>
      </c>
      <c r="M122" s="13" t="s">
        <v>71</v>
      </c>
      <c r="O122" s="30"/>
    </row>
    <row r="123" spans="1:15" x14ac:dyDescent="0.25">
      <c r="A123" s="1">
        <v>81</v>
      </c>
      <c r="B123" s="33"/>
      <c r="C123" s="66">
        <v>43441337</v>
      </c>
      <c r="D123" s="114">
        <v>58.4</v>
      </c>
      <c r="E123" s="5">
        <v>20.475999999999999</v>
      </c>
      <c r="F123" s="5">
        <v>21.286000000000001</v>
      </c>
      <c r="G123" s="5"/>
      <c r="H123" s="16">
        <f>G123*0.8598</f>
        <v>0</v>
      </c>
      <c r="I123" s="16">
        <f>((D123*0.015)*12)/7</f>
        <v>1.5017142857142858</v>
      </c>
      <c r="J123" s="16"/>
      <c r="K123" s="19">
        <f t="shared" si="18"/>
        <v>1.5017142857142858</v>
      </c>
      <c r="M123" s="13" t="s">
        <v>71</v>
      </c>
      <c r="O123" s="24"/>
    </row>
    <row r="124" spans="1:15" x14ac:dyDescent="0.25">
      <c r="A124" s="1">
        <v>82</v>
      </c>
      <c r="B124" s="48">
        <v>45937</v>
      </c>
      <c r="C124" s="66">
        <v>43441334</v>
      </c>
      <c r="D124" s="114">
        <v>76.400000000000006</v>
      </c>
      <c r="E124" s="5">
        <v>31.844000000000001</v>
      </c>
      <c r="F124" s="5">
        <v>31.844000000000001</v>
      </c>
      <c r="G124" s="5">
        <f>F124-E124</f>
        <v>0</v>
      </c>
      <c r="H124" s="16">
        <f t="shared" ref="H124:H151" si="19">G124*0.8598</f>
        <v>0</v>
      </c>
      <c r="I124" s="16"/>
      <c r="J124" s="16">
        <f>D124/($E$18-$E$19)*$J$17</f>
        <v>0.62402162350379731</v>
      </c>
      <c r="K124" s="19">
        <f t="shared" si="18"/>
        <v>0.62402162350379731</v>
      </c>
      <c r="M124" s="13" t="s">
        <v>69</v>
      </c>
    </row>
    <row r="125" spans="1:15" x14ac:dyDescent="0.25">
      <c r="A125" s="1">
        <v>83</v>
      </c>
      <c r="B125" s="47">
        <v>45847</v>
      </c>
      <c r="C125" s="66">
        <v>43441340</v>
      </c>
      <c r="D125" s="114">
        <v>85.5</v>
      </c>
      <c r="E125" s="5">
        <v>54.527000000000001</v>
      </c>
      <c r="F125" s="5">
        <v>56.561</v>
      </c>
      <c r="G125" s="5">
        <f>F125-E125</f>
        <v>2.0339999999999989</v>
      </c>
      <c r="H125" s="16">
        <f t="shared" si="19"/>
        <v>1.7488331999999991</v>
      </c>
      <c r="I125" s="19"/>
      <c r="J125" s="16">
        <f>D125/($E$18-$E$19)*$J$17</f>
        <v>0.69834880640804542</v>
      </c>
      <c r="K125" s="19">
        <f t="shared" si="18"/>
        <v>2.4471820064080445</v>
      </c>
      <c r="M125" s="13" t="s">
        <v>69</v>
      </c>
    </row>
    <row r="126" spans="1:15" x14ac:dyDescent="0.25">
      <c r="A126" s="1">
        <v>84</v>
      </c>
      <c r="B126" s="33"/>
      <c r="C126" s="66">
        <v>43441326</v>
      </c>
      <c r="D126" s="114">
        <v>58.6</v>
      </c>
      <c r="E126" s="5">
        <v>6.2560000000000002</v>
      </c>
      <c r="F126" s="5">
        <v>6.2569999999999997</v>
      </c>
      <c r="G126" s="5"/>
      <c r="H126" s="16">
        <f t="shared" si="19"/>
        <v>0</v>
      </c>
      <c r="I126" s="16">
        <f>((D126*0.015)*12)/7</f>
        <v>1.5068571428571429</v>
      </c>
      <c r="J126" s="16"/>
      <c r="K126" s="19">
        <f t="shared" si="18"/>
        <v>1.5068571428571429</v>
      </c>
      <c r="M126" s="13" t="s">
        <v>71</v>
      </c>
    </row>
    <row r="127" spans="1:15" x14ac:dyDescent="0.25">
      <c r="A127" s="1">
        <v>85</v>
      </c>
      <c r="B127" s="33"/>
      <c r="C127" s="66">
        <v>43441323</v>
      </c>
      <c r="D127" s="114">
        <v>59.6</v>
      </c>
      <c r="E127" s="5">
        <v>25.045999999999999</v>
      </c>
      <c r="F127" s="5">
        <v>27.059000000000001</v>
      </c>
      <c r="G127" s="5"/>
      <c r="H127" s="16">
        <f t="shared" si="19"/>
        <v>0</v>
      </c>
      <c r="I127" s="16">
        <f>((D127*0.015)*12)/7</f>
        <v>1.5325714285714285</v>
      </c>
      <c r="J127" s="16"/>
      <c r="K127" s="19">
        <f t="shared" si="18"/>
        <v>1.5325714285714285</v>
      </c>
      <c r="M127" s="13" t="s">
        <v>71</v>
      </c>
    </row>
    <row r="128" spans="1:15" x14ac:dyDescent="0.25">
      <c r="A128" s="1">
        <v>86</v>
      </c>
      <c r="B128" s="48">
        <v>45674</v>
      </c>
      <c r="C128" s="66">
        <v>43441329</v>
      </c>
      <c r="D128" s="114">
        <v>76.5</v>
      </c>
      <c r="E128" s="5">
        <v>7.7969999999999997</v>
      </c>
      <c r="F128" s="5">
        <v>7.9980000000000002</v>
      </c>
      <c r="G128" s="5">
        <f>F128-E128</f>
        <v>0.20100000000000051</v>
      </c>
      <c r="H128" s="16">
        <f>G128*0.8598</f>
        <v>0.17281980000000044</v>
      </c>
      <c r="I128" s="16"/>
      <c r="J128" s="16">
        <f>D128/($E$18-$E$19)*$J$17</f>
        <v>0.62483840573351423</v>
      </c>
      <c r="K128" s="19">
        <f>H128+I128+J128</f>
        <v>0.79765820573351465</v>
      </c>
      <c r="M128" s="13" t="s">
        <v>69</v>
      </c>
    </row>
    <row r="129" spans="1:13" x14ac:dyDescent="0.25">
      <c r="A129" s="1">
        <v>87</v>
      </c>
      <c r="B129" s="33"/>
      <c r="C129" s="66">
        <v>43441330</v>
      </c>
      <c r="D129" s="114">
        <v>85.1</v>
      </c>
      <c r="E129" s="5">
        <v>50.218000000000004</v>
      </c>
      <c r="F129" s="5">
        <v>91.863</v>
      </c>
      <c r="G129" s="5"/>
      <c r="H129" s="16">
        <f t="shared" si="19"/>
        <v>0</v>
      </c>
      <c r="I129" s="16">
        <f>((D129*0.015)*12)/7</f>
        <v>2.1882857142857142</v>
      </c>
      <c r="J129" s="16"/>
      <c r="K129" s="19">
        <f t="shared" si="18"/>
        <v>2.1882857142857142</v>
      </c>
      <c r="M129" s="13" t="s">
        <v>71</v>
      </c>
    </row>
    <row r="130" spans="1:13" x14ac:dyDescent="0.25">
      <c r="A130" s="1">
        <v>88</v>
      </c>
      <c r="B130" s="47">
        <v>45914</v>
      </c>
      <c r="C130" s="66">
        <v>43441327</v>
      </c>
      <c r="D130" s="114">
        <v>58.4</v>
      </c>
      <c r="E130" s="5">
        <v>26.568999999999999</v>
      </c>
      <c r="F130" s="5">
        <v>27.684000000000001</v>
      </c>
      <c r="G130" s="5">
        <f>F130-E130</f>
        <v>1.115000000000002</v>
      </c>
      <c r="H130" s="16">
        <f t="shared" si="19"/>
        <v>0.95867700000000167</v>
      </c>
      <c r="I130" s="19"/>
      <c r="J130" s="16">
        <f>D130/($E$18-$E$19)*$J$17</f>
        <v>0.4770008221547351</v>
      </c>
      <c r="K130" s="19">
        <f t="shared" si="18"/>
        <v>1.4356778221547368</v>
      </c>
      <c r="M130" s="13" t="s">
        <v>69</v>
      </c>
    </row>
    <row r="131" spans="1:13" x14ac:dyDescent="0.25">
      <c r="A131" s="1">
        <v>89</v>
      </c>
      <c r="B131" s="47">
        <v>45889</v>
      </c>
      <c r="C131" s="66">
        <v>43441324</v>
      </c>
      <c r="D131" s="114">
        <v>58.7</v>
      </c>
      <c r="E131" s="5">
        <v>27.062999999999999</v>
      </c>
      <c r="F131" s="5">
        <v>27.556000000000001</v>
      </c>
      <c r="G131" s="5">
        <f>F131-E131</f>
        <v>0.4930000000000021</v>
      </c>
      <c r="H131" s="16">
        <f t="shared" si="19"/>
        <v>0.4238814000000018</v>
      </c>
      <c r="I131" s="19"/>
      <c r="J131" s="16">
        <f>D131/($E$18-$E$19)*$J$17</f>
        <v>0.47945116884388617</v>
      </c>
      <c r="K131" s="19">
        <f t="shared" si="18"/>
        <v>0.90333256884388802</v>
      </c>
      <c r="M131" s="13" t="s">
        <v>69</v>
      </c>
    </row>
    <row r="132" spans="1:13" x14ac:dyDescent="0.25">
      <c r="A132" s="1">
        <v>90</v>
      </c>
      <c r="B132" s="33"/>
      <c r="C132" s="66">
        <v>43441325</v>
      </c>
      <c r="D132" s="114">
        <v>77.7</v>
      </c>
      <c r="E132" s="5">
        <v>34.546999999999997</v>
      </c>
      <c r="F132" s="5">
        <v>36.055999999999997</v>
      </c>
      <c r="G132" s="5"/>
      <c r="H132" s="16">
        <f t="shared" si="19"/>
        <v>0</v>
      </c>
      <c r="I132" s="16">
        <f>((D132*0.015)*12)/7</f>
        <v>1.998</v>
      </c>
      <c r="J132" s="16"/>
      <c r="K132" s="19">
        <f t="shared" si="18"/>
        <v>1.998</v>
      </c>
      <c r="M132" s="13" t="s">
        <v>71</v>
      </c>
    </row>
    <row r="133" spans="1:13" x14ac:dyDescent="0.25">
      <c r="A133" s="1">
        <v>91</v>
      </c>
      <c r="B133" s="47">
        <v>45756</v>
      </c>
      <c r="C133" s="66">
        <v>43441328</v>
      </c>
      <c r="D133" s="114">
        <v>85.3</v>
      </c>
      <c r="E133" s="5">
        <v>16.297999999999998</v>
      </c>
      <c r="F133" s="5">
        <v>16.643000000000001</v>
      </c>
      <c r="G133" s="5">
        <f>F133-E133</f>
        <v>0.34500000000000242</v>
      </c>
      <c r="H133" s="16">
        <f t="shared" si="19"/>
        <v>0.29663100000000209</v>
      </c>
      <c r="I133" s="16"/>
      <c r="J133" s="16">
        <f>D133/($E$18-$E$19)*$J$17</f>
        <v>0.69671524194861134</v>
      </c>
      <c r="K133" s="19">
        <f t="shared" si="18"/>
        <v>0.99334624194861343</v>
      </c>
      <c r="M133" s="13" t="s">
        <v>69</v>
      </c>
    </row>
    <row r="134" spans="1:13" x14ac:dyDescent="0.25">
      <c r="A134" s="1">
        <v>92</v>
      </c>
      <c r="B134" s="47">
        <v>45900</v>
      </c>
      <c r="C134" s="66">
        <v>43441331</v>
      </c>
      <c r="D134" s="114">
        <v>58.5</v>
      </c>
      <c r="E134" s="5">
        <v>38.563000000000002</v>
      </c>
      <c r="F134" s="5">
        <v>39.703000000000003</v>
      </c>
      <c r="G134" s="5">
        <f>F134-E134</f>
        <v>1.1400000000000006</v>
      </c>
      <c r="H134" s="16">
        <f t="shared" si="19"/>
        <v>0.98017200000000049</v>
      </c>
      <c r="I134" s="19"/>
      <c r="J134" s="16">
        <f>D134/($E$18-$E$19)*$J$17</f>
        <v>0.47781760438445214</v>
      </c>
      <c r="K134" s="19">
        <f t="shared" si="18"/>
        <v>1.4579896043844527</v>
      </c>
      <c r="M134" s="13" t="s">
        <v>69</v>
      </c>
    </row>
    <row r="135" spans="1:13" x14ac:dyDescent="0.25">
      <c r="A135" s="1">
        <v>93</v>
      </c>
      <c r="B135" s="47">
        <v>45912</v>
      </c>
      <c r="C135" s="66">
        <v>34242164</v>
      </c>
      <c r="D135" s="114">
        <v>59.3</v>
      </c>
      <c r="E135" s="5">
        <v>22.405999999999999</v>
      </c>
      <c r="F135" s="5">
        <v>22.619</v>
      </c>
      <c r="G135" s="5">
        <f>F135-E135</f>
        <v>0.21300000000000097</v>
      </c>
      <c r="H135" s="16">
        <f t="shared" si="19"/>
        <v>0.18313740000000084</v>
      </c>
      <c r="I135" s="19"/>
      <c r="J135" s="16">
        <f>D135/($E$18-$E$19)*$J$17</f>
        <v>0.48435186222218818</v>
      </c>
      <c r="K135" s="19">
        <f t="shared" si="18"/>
        <v>0.66748926222218907</v>
      </c>
      <c r="M135" s="13" t="s">
        <v>69</v>
      </c>
    </row>
    <row r="136" spans="1:13" x14ac:dyDescent="0.25">
      <c r="A136" s="1">
        <v>94</v>
      </c>
      <c r="B136" s="47">
        <v>46052</v>
      </c>
      <c r="C136" s="66">
        <v>34242158</v>
      </c>
      <c r="D136" s="114">
        <v>76.8</v>
      </c>
      <c r="E136" s="5">
        <v>0</v>
      </c>
      <c r="F136" s="5">
        <v>0.29899999999999999</v>
      </c>
      <c r="G136" s="5">
        <f>F136-E136</f>
        <v>0.29899999999999999</v>
      </c>
      <c r="H136" s="16">
        <f>G136*0.8598</f>
        <v>0.25708019999999998</v>
      </c>
      <c r="I136" s="16"/>
      <c r="J136" s="16">
        <f>D136/($E$18-$E$19)*$J$17</f>
        <v>0.62728875242266535</v>
      </c>
      <c r="K136" s="19">
        <f t="shared" si="18"/>
        <v>0.88436895242266533</v>
      </c>
      <c r="M136" s="13" t="s">
        <v>69</v>
      </c>
    </row>
    <row r="137" spans="1:13" x14ac:dyDescent="0.25">
      <c r="A137" s="1">
        <v>95</v>
      </c>
      <c r="B137" s="33"/>
      <c r="C137" s="66">
        <v>34242124</v>
      </c>
      <c r="D137" s="114">
        <v>85.2</v>
      </c>
      <c r="E137" s="5">
        <v>50.231000000000002</v>
      </c>
      <c r="F137" s="5">
        <v>52.453000000000003</v>
      </c>
      <c r="G137" s="5"/>
      <c r="H137" s="16">
        <f t="shared" si="19"/>
        <v>0</v>
      </c>
      <c r="I137" s="16">
        <f>((D137*0.015)*12)/7</f>
        <v>2.1908571428571428</v>
      </c>
      <c r="J137" s="16"/>
      <c r="K137" s="19">
        <f t="shared" si="18"/>
        <v>2.1908571428571428</v>
      </c>
      <c r="M137" s="13" t="s">
        <v>71</v>
      </c>
    </row>
    <row r="138" spans="1:13" x14ac:dyDescent="0.25">
      <c r="A138" s="1">
        <v>96</v>
      </c>
      <c r="B138" s="47">
        <v>45767</v>
      </c>
      <c r="C138" s="66">
        <v>34242122</v>
      </c>
      <c r="D138" s="109">
        <v>58.1</v>
      </c>
      <c r="E138" s="5">
        <v>19.893999999999998</v>
      </c>
      <c r="F138" s="5">
        <v>21.843</v>
      </c>
      <c r="G138" s="5">
        <f>F138-E138</f>
        <v>1.9490000000000016</v>
      </c>
      <c r="H138" s="16">
        <f>G138*0.8598</f>
        <v>1.6757502000000013</v>
      </c>
      <c r="I138" s="19"/>
      <c r="J138" s="16">
        <f>D138/($E$18-$E$19)*$J$17</f>
        <v>0.47455047546558404</v>
      </c>
      <c r="K138" s="19">
        <f t="shared" si="18"/>
        <v>2.1503006754655853</v>
      </c>
      <c r="M138" s="13" t="s">
        <v>69</v>
      </c>
    </row>
    <row r="139" spans="1:13" x14ac:dyDescent="0.25">
      <c r="A139" s="1">
        <v>97</v>
      </c>
      <c r="B139" s="33"/>
      <c r="C139" s="66">
        <v>34242128</v>
      </c>
      <c r="D139" s="109">
        <v>57.5</v>
      </c>
      <c r="E139" s="5">
        <v>42.509</v>
      </c>
      <c r="F139" s="5">
        <v>44.313000000000002</v>
      </c>
      <c r="G139" s="5"/>
      <c r="H139" s="16">
        <f t="shared" si="19"/>
        <v>0</v>
      </c>
      <c r="I139" s="16">
        <f>((D139*0.015)*12)/7</f>
        <v>1.4785714285714284</v>
      </c>
      <c r="J139" s="16"/>
      <c r="K139" s="19">
        <f t="shared" si="18"/>
        <v>1.4785714285714284</v>
      </c>
      <c r="M139" s="13" t="s">
        <v>71</v>
      </c>
    </row>
    <row r="140" spans="1:13" x14ac:dyDescent="0.25">
      <c r="A140" s="1">
        <v>98</v>
      </c>
      <c r="B140" s="47" t="s">
        <v>59</v>
      </c>
      <c r="C140" s="66" t="s">
        <v>110</v>
      </c>
      <c r="D140" s="109">
        <v>77</v>
      </c>
      <c r="E140" s="39">
        <v>0.75790000000000002</v>
      </c>
      <c r="F140" s="39">
        <v>2.1139999999999999</v>
      </c>
      <c r="G140" s="5"/>
      <c r="H140" s="16">
        <f>F140-E140</f>
        <v>1.3560999999999999</v>
      </c>
      <c r="I140" s="16"/>
      <c r="J140" s="16">
        <f t="shared" ref="J140:J146" si="20">D140/($E$18-$E$19)*$J$17</f>
        <v>0.62892231688209932</v>
      </c>
      <c r="K140" s="19">
        <f t="shared" si="18"/>
        <v>1.9850223168820991</v>
      </c>
      <c r="M140" s="13" t="s">
        <v>69</v>
      </c>
    </row>
    <row r="141" spans="1:13" x14ac:dyDescent="0.25">
      <c r="A141" s="1">
        <v>99</v>
      </c>
      <c r="B141" s="47">
        <v>45767</v>
      </c>
      <c r="C141" s="66">
        <v>34242441</v>
      </c>
      <c r="D141" s="109">
        <v>85.4</v>
      </c>
      <c r="E141" s="5">
        <v>13.664</v>
      </c>
      <c r="F141" s="5">
        <v>13.664</v>
      </c>
      <c r="G141" s="5">
        <f>F141-E141</f>
        <v>0</v>
      </c>
      <c r="H141" s="16">
        <f t="shared" ref="H141:H142" si="21">G141*0.8598</f>
        <v>0</v>
      </c>
      <c r="I141" s="16"/>
      <c r="J141" s="16">
        <f t="shared" si="20"/>
        <v>0.69753202417832849</v>
      </c>
      <c r="K141" s="19">
        <f t="shared" si="18"/>
        <v>0.69753202417832849</v>
      </c>
      <c r="M141" s="13" t="s">
        <v>69</v>
      </c>
    </row>
    <row r="142" spans="1:13" x14ac:dyDescent="0.25">
      <c r="A142" s="1">
        <v>100</v>
      </c>
      <c r="B142" s="47">
        <v>45585</v>
      </c>
      <c r="C142" s="66">
        <v>34242395</v>
      </c>
      <c r="D142" s="109">
        <v>58.2</v>
      </c>
      <c r="E142" s="5">
        <v>27.670999999999999</v>
      </c>
      <c r="F142" s="5">
        <v>28.055</v>
      </c>
      <c r="G142" s="5">
        <f>F142-E142</f>
        <v>0.38400000000000034</v>
      </c>
      <c r="H142" s="16">
        <f t="shared" si="21"/>
        <v>0.33016320000000032</v>
      </c>
      <c r="I142" s="19"/>
      <c r="J142" s="16">
        <f t="shared" si="20"/>
        <v>0.47536725769530108</v>
      </c>
      <c r="K142" s="19">
        <f t="shared" si="18"/>
        <v>0.80553045769530141</v>
      </c>
      <c r="M142" s="13" t="s">
        <v>69</v>
      </c>
    </row>
    <row r="143" spans="1:13" x14ac:dyDescent="0.25">
      <c r="A143" s="1">
        <v>101</v>
      </c>
      <c r="B143" s="47">
        <v>45459</v>
      </c>
      <c r="C143" s="10" t="s">
        <v>96</v>
      </c>
      <c r="D143" s="109">
        <v>59</v>
      </c>
      <c r="E143" s="39">
        <v>0.68500000000000005</v>
      </c>
      <c r="F143" s="39">
        <v>0.68500000000000005</v>
      </c>
      <c r="G143" s="5"/>
      <c r="H143" s="16">
        <f>F143-E143</f>
        <v>0</v>
      </c>
      <c r="I143" s="16"/>
      <c r="J143" s="16">
        <f t="shared" si="20"/>
        <v>0.48190151553303712</v>
      </c>
      <c r="K143" s="19">
        <f t="shared" si="18"/>
        <v>0.48190151553303712</v>
      </c>
      <c r="M143" s="13" t="s">
        <v>69</v>
      </c>
    </row>
    <row r="144" spans="1:13" x14ac:dyDescent="0.25">
      <c r="A144" s="1">
        <v>102</v>
      </c>
      <c r="B144" s="47">
        <v>45809</v>
      </c>
      <c r="C144" s="66">
        <v>34242123</v>
      </c>
      <c r="D144" s="109">
        <v>77.599999999999994</v>
      </c>
      <c r="E144" s="5">
        <v>17.728000000000002</v>
      </c>
      <c r="F144" s="5">
        <v>18.199000000000002</v>
      </c>
      <c r="G144" s="5">
        <f>F144-E144</f>
        <v>0.47100000000000009</v>
      </c>
      <c r="H144" s="16">
        <f>G144*0.8598</f>
        <v>0.4049658000000001</v>
      </c>
      <c r="I144" s="19"/>
      <c r="J144" s="16">
        <f t="shared" si="20"/>
        <v>0.63382301026040144</v>
      </c>
      <c r="K144" s="19">
        <f t="shared" si="18"/>
        <v>1.0387888102604015</v>
      </c>
      <c r="M144" s="13" t="s">
        <v>69</v>
      </c>
    </row>
    <row r="145" spans="1:14" x14ac:dyDescent="0.25">
      <c r="A145" s="1">
        <v>103</v>
      </c>
      <c r="B145" s="47">
        <v>45327</v>
      </c>
      <c r="C145" s="10" t="s">
        <v>97</v>
      </c>
      <c r="D145" s="109">
        <v>85.4</v>
      </c>
      <c r="E145" s="5">
        <f>5.151+1.281</f>
        <v>6.4319999999999995</v>
      </c>
      <c r="F145" s="5">
        <f>7.264+0.769</f>
        <v>8.0329999999999995</v>
      </c>
      <c r="G145" s="5"/>
      <c r="H145" s="16">
        <f>F145-E145</f>
        <v>1.601</v>
      </c>
      <c r="I145" s="16"/>
      <c r="J145" s="16">
        <f t="shared" si="20"/>
        <v>0.69753202417832849</v>
      </c>
      <c r="K145" s="19">
        <f>H145+I145+J145</f>
        <v>2.2985320241783285</v>
      </c>
      <c r="M145" s="13" t="s">
        <v>69</v>
      </c>
    </row>
    <row r="146" spans="1:14" x14ac:dyDescent="0.25">
      <c r="A146" s="1">
        <v>104</v>
      </c>
      <c r="B146" s="73">
        <v>45951</v>
      </c>
      <c r="C146" s="70">
        <v>43242242</v>
      </c>
      <c r="D146" s="59">
        <v>58.8</v>
      </c>
      <c r="E146" s="5">
        <v>41.231000000000002</v>
      </c>
      <c r="F146" s="5">
        <v>42.110999999999997</v>
      </c>
      <c r="G146" s="5">
        <f>F146-E146</f>
        <v>0.87999999999999545</v>
      </c>
      <c r="H146" s="16">
        <f>G146*0.8598</f>
        <v>0.75662399999999608</v>
      </c>
      <c r="I146" s="16"/>
      <c r="J146" s="16">
        <f t="shared" si="20"/>
        <v>0.48026795107360309</v>
      </c>
      <c r="K146" s="19">
        <f t="shared" si="18"/>
        <v>1.2368919510735992</v>
      </c>
      <c r="M146" s="13" t="s">
        <v>69</v>
      </c>
    </row>
    <row r="147" spans="1:14" x14ac:dyDescent="0.25">
      <c r="A147" s="1">
        <v>105</v>
      </c>
      <c r="B147" s="34"/>
      <c r="C147" s="66">
        <v>34242113</v>
      </c>
      <c r="D147" s="109">
        <v>59.2</v>
      </c>
      <c r="E147" s="5">
        <v>31.309000000000001</v>
      </c>
      <c r="F147" s="5">
        <v>31.309000000000001</v>
      </c>
      <c r="G147" s="5"/>
      <c r="H147" s="16">
        <f t="shared" si="19"/>
        <v>0</v>
      </c>
      <c r="I147" s="16">
        <f>((D147*0.015)*12)/7</f>
        <v>1.5222857142857145</v>
      </c>
      <c r="J147" s="16"/>
      <c r="K147" s="19">
        <f t="shared" si="18"/>
        <v>1.5222857142857145</v>
      </c>
      <c r="M147" s="13" t="s">
        <v>71</v>
      </c>
      <c r="N147" s="12"/>
    </row>
    <row r="148" spans="1:14" x14ac:dyDescent="0.25">
      <c r="A148" s="1">
        <v>106</v>
      </c>
      <c r="B148" s="47">
        <v>45703</v>
      </c>
      <c r="C148" s="67">
        <v>34242119</v>
      </c>
      <c r="D148" s="109">
        <v>76.8</v>
      </c>
      <c r="E148" s="5">
        <f>47.931+1.1385</f>
        <v>49.069499999999998</v>
      </c>
      <c r="F148" s="5">
        <v>50.37</v>
      </c>
      <c r="G148" s="5">
        <f>F148-E148</f>
        <v>1.3004999999999995</v>
      </c>
      <c r="H148" s="16">
        <f>G148*0.8598</f>
        <v>1.1181698999999996</v>
      </c>
      <c r="I148" s="19"/>
      <c r="J148" s="16">
        <f>D148/($E$18-$E$19)*$J$17</f>
        <v>0.62728875242266535</v>
      </c>
      <c r="K148" s="19">
        <f t="shared" si="18"/>
        <v>1.745458652422665</v>
      </c>
      <c r="L148" s="24"/>
      <c r="M148" s="13" t="s">
        <v>69</v>
      </c>
    </row>
    <row r="149" spans="1:14" x14ac:dyDescent="0.25">
      <c r="A149" s="1">
        <v>107</v>
      </c>
      <c r="B149" s="33"/>
      <c r="C149" s="66">
        <v>34242112</v>
      </c>
      <c r="D149" s="109">
        <v>85.1</v>
      </c>
      <c r="E149" s="5">
        <v>44.317</v>
      </c>
      <c r="F149" s="5">
        <v>45.948999999999998</v>
      </c>
      <c r="G149" s="5"/>
      <c r="H149" s="16">
        <f t="shared" si="19"/>
        <v>0</v>
      </c>
      <c r="I149" s="16">
        <f>((D149*0.015)*12)/7</f>
        <v>2.1882857142857142</v>
      </c>
      <c r="J149" s="16"/>
      <c r="K149" s="19">
        <f t="shared" si="18"/>
        <v>2.1882857142857142</v>
      </c>
      <c r="M149" s="13" t="s">
        <v>71</v>
      </c>
    </row>
    <row r="150" spans="1:14" x14ac:dyDescent="0.25">
      <c r="A150" s="1">
        <v>108</v>
      </c>
      <c r="B150" s="47">
        <v>45718</v>
      </c>
      <c r="C150" s="66">
        <v>34242115</v>
      </c>
      <c r="D150" s="109">
        <v>58.5</v>
      </c>
      <c r="E150" s="5">
        <v>16.378</v>
      </c>
      <c r="F150" s="5">
        <v>16.963999999999999</v>
      </c>
      <c r="G150" s="5">
        <f>F150-E150</f>
        <v>0.58599999999999852</v>
      </c>
      <c r="H150" s="16">
        <f t="shared" si="19"/>
        <v>0.5038427999999987</v>
      </c>
      <c r="I150" s="16"/>
      <c r="J150" s="16">
        <f t="shared" ref="J150:J157" si="22">D150/($E$18-$E$19)*$J$17</f>
        <v>0.47781760438445214</v>
      </c>
      <c r="K150" s="19">
        <f t="shared" si="18"/>
        <v>0.98166040438445079</v>
      </c>
      <c r="L150" s="24"/>
      <c r="M150" s="13" t="s">
        <v>69</v>
      </c>
    </row>
    <row r="151" spans="1:14" x14ac:dyDescent="0.25">
      <c r="A151" s="1">
        <v>109</v>
      </c>
      <c r="B151" s="47">
        <v>45641</v>
      </c>
      <c r="C151" s="66">
        <v>34242118</v>
      </c>
      <c r="D151" s="109">
        <v>59.1</v>
      </c>
      <c r="E151" s="5">
        <v>40.229999999999997</v>
      </c>
      <c r="F151" s="5">
        <v>41.250999999999998</v>
      </c>
      <c r="G151" s="5">
        <f>F151-E151</f>
        <v>1.0210000000000008</v>
      </c>
      <c r="H151" s="16">
        <f t="shared" si="19"/>
        <v>0.87785580000000074</v>
      </c>
      <c r="I151" s="19"/>
      <c r="J151" s="16">
        <f t="shared" si="22"/>
        <v>0.48271829776275427</v>
      </c>
      <c r="K151" s="19">
        <f t="shared" si="18"/>
        <v>1.360574097762755</v>
      </c>
      <c r="M151" s="13" t="s">
        <v>69</v>
      </c>
    </row>
    <row r="152" spans="1:14" x14ac:dyDescent="0.25">
      <c r="A152" s="1">
        <v>110</v>
      </c>
      <c r="B152" s="47">
        <v>45955</v>
      </c>
      <c r="C152" s="66" t="s">
        <v>111</v>
      </c>
      <c r="D152" s="109">
        <v>77.099999999999994</v>
      </c>
      <c r="E152" s="39">
        <v>0.55959999999999999</v>
      </c>
      <c r="F152" s="39">
        <f>0.5596+1.1565</f>
        <v>1.7161</v>
      </c>
      <c r="G152" s="5"/>
      <c r="H152" s="16">
        <f t="shared" ref="H152:H153" si="23">F152-E152</f>
        <v>1.1564999999999999</v>
      </c>
      <c r="I152" s="16"/>
      <c r="J152" s="16">
        <f t="shared" si="22"/>
        <v>0.62973909911181636</v>
      </c>
      <c r="K152" s="19">
        <f t="shared" si="18"/>
        <v>1.7862390991118162</v>
      </c>
      <c r="M152" s="13" t="s">
        <v>69</v>
      </c>
    </row>
    <row r="153" spans="1:14" x14ac:dyDescent="0.25">
      <c r="A153" s="1">
        <v>111</v>
      </c>
      <c r="B153" s="47">
        <v>45327</v>
      </c>
      <c r="C153" s="10" t="s">
        <v>58</v>
      </c>
      <c r="D153" s="109">
        <v>85.1</v>
      </c>
      <c r="E153" s="39">
        <v>6.3979999999999997</v>
      </c>
      <c r="F153" s="39">
        <v>7.5590000000000002</v>
      </c>
      <c r="G153" s="39"/>
      <c r="H153" s="16">
        <f t="shared" si="23"/>
        <v>1.1610000000000005</v>
      </c>
      <c r="I153" s="19"/>
      <c r="J153" s="16">
        <f t="shared" si="22"/>
        <v>0.69508167748917737</v>
      </c>
      <c r="K153" s="19">
        <f t="shared" si="18"/>
        <v>1.8560816774891777</v>
      </c>
      <c r="M153" s="13" t="s">
        <v>69</v>
      </c>
    </row>
    <row r="154" spans="1:14" x14ac:dyDescent="0.25">
      <c r="A154" s="1">
        <v>112</v>
      </c>
      <c r="B154" s="47">
        <v>45622</v>
      </c>
      <c r="C154" s="66">
        <v>34242117</v>
      </c>
      <c r="D154" s="109">
        <v>57.5</v>
      </c>
      <c r="E154" s="5">
        <v>19.856999999999999</v>
      </c>
      <c r="F154" s="5">
        <v>20.609000000000002</v>
      </c>
      <c r="G154" s="5">
        <f>F154-E154</f>
        <v>0.75200000000000244</v>
      </c>
      <c r="H154" s="16">
        <f t="shared" ref="H154:H182" si="24">G154*0.8598</f>
        <v>0.64656960000000208</v>
      </c>
      <c r="I154" s="19"/>
      <c r="J154" s="16">
        <f t="shared" si="22"/>
        <v>0.46964978208728203</v>
      </c>
      <c r="K154" s="19">
        <f t="shared" si="18"/>
        <v>1.1162193820872841</v>
      </c>
      <c r="M154" s="13" t="s">
        <v>69</v>
      </c>
    </row>
    <row r="155" spans="1:14" x14ac:dyDescent="0.25">
      <c r="A155" s="1">
        <v>113</v>
      </c>
      <c r="B155" s="47">
        <v>45957</v>
      </c>
      <c r="C155" s="66">
        <v>34242125</v>
      </c>
      <c r="D155" s="109">
        <v>58.9</v>
      </c>
      <c r="E155" s="5">
        <v>20.202999999999999</v>
      </c>
      <c r="F155" s="5">
        <v>21.346</v>
      </c>
      <c r="G155" s="5">
        <f>F155-E155</f>
        <v>1.1430000000000007</v>
      </c>
      <c r="H155" s="16">
        <f t="shared" si="24"/>
        <v>0.98275140000000061</v>
      </c>
      <c r="I155" s="16"/>
      <c r="J155" s="16">
        <f t="shared" si="22"/>
        <v>0.48108473330332013</v>
      </c>
      <c r="K155" s="19">
        <f t="shared" si="18"/>
        <v>1.4638361333033207</v>
      </c>
      <c r="M155" s="13" t="s">
        <v>69</v>
      </c>
    </row>
    <row r="156" spans="1:14" x14ac:dyDescent="0.25">
      <c r="A156" s="1">
        <v>114</v>
      </c>
      <c r="B156" s="48">
        <v>45875</v>
      </c>
      <c r="C156" s="66">
        <v>34242154</v>
      </c>
      <c r="D156" s="109">
        <v>77.099999999999994</v>
      </c>
      <c r="E156" s="5">
        <v>6.444</v>
      </c>
      <c r="F156" s="5">
        <v>6.444</v>
      </c>
      <c r="G156" s="5">
        <f>F156-E156</f>
        <v>0</v>
      </c>
      <c r="H156" s="16">
        <f t="shared" si="24"/>
        <v>0</v>
      </c>
      <c r="I156" s="16"/>
      <c r="J156" s="16">
        <f t="shared" si="22"/>
        <v>0.62973909911181636</v>
      </c>
      <c r="K156" s="19">
        <f t="shared" si="18"/>
        <v>0.62973909911181636</v>
      </c>
      <c r="M156" s="13" t="s">
        <v>69</v>
      </c>
    </row>
    <row r="157" spans="1:14" x14ac:dyDescent="0.25">
      <c r="A157" s="1">
        <v>115</v>
      </c>
      <c r="B157" s="47">
        <v>45912</v>
      </c>
      <c r="C157" s="66">
        <v>34242149</v>
      </c>
      <c r="D157" s="109">
        <v>85.3</v>
      </c>
      <c r="E157" s="5">
        <v>32.468000000000004</v>
      </c>
      <c r="F157" s="5">
        <v>33.701999999999998</v>
      </c>
      <c r="G157" s="5">
        <f>F157-E157</f>
        <v>1.2339999999999947</v>
      </c>
      <c r="H157" s="16">
        <f t="shared" si="24"/>
        <v>1.0609931999999953</v>
      </c>
      <c r="I157" s="19"/>
      <c r="J157" s="16">
        <f t="shared" si="22"/>
        <v>0.69671524194861134</v>
      </c>
      <c r="K157" s="19">
        <f t="shared" si="18"/>
        <v>1.7577084419486066</v>
      </c>
      <c r="M157" s="13" t="s">
        <v>69</v>
      </c>
    </row>
    <row r="158" spans="1:14" x14ac:dyDescent="0.25">
      <c r="A158" s="1">
        <v>116</v>
      </c>
      <c r="B158" s="33"/>
      <c r="C158" s="66">
        <v>34242157</v>
      </c>
      <c r="D158" s="109">
        <v>59.6</v>
      </c>
      <c r="E158" s="5">
        <v>24.094000000000001</v>
      </c>
      <c r="F158" s="5">
        <v>27.492000000000001</v>
      </c>
      <c r="G158" s="5"/>
      <c r="H158" s="16">
        <f t="shared" si="24"/>
        <v>0</v>
      </c>
      <c r="I158" s="16">
        <f>((D158*0.015)*12)/7</f>
        <v>1.5325714285714285</v>
      </c>
      <c r="J158" s="16"/>
      <c r="K158" s="19">
        <f t="shared" si="18"/>
        <v>1.5325714285714285</v>
      </c>
      <c r="M158" s="13" t="s">
        <v>71</v>
      </c>
    </row>
    <row r="159" spans="1:14" x14ac:dyDescent="0.25">
      <c r="A159" s="1">
        <v>117</v>
      </c>
      <c r="B159" s="47">
        <v>45732</v>
      </c>
      <c r="C159" s="66">
        <v>41341239</v>
      </c>
      <c r="D159" s="109">
        <v>59</v>
      </c>
      <c r="E159" s="5">
        <v>12.817</v>
      </c>
      <c r="F159" s="5">
        <v>13.081</v>
      </c>
      <c r="G159" s="5">
        <f>F159-E159</f>
        <v>0.26399999999999935</v>
      </c>
      <c r="H159" s="16">
        <f t="shared" si="24"/>
        <v>0.22698719999999944</v>
      </c>
      <c r="I159" s="19"/>
      <c r="J159" s="16">
        <f>D159/($E$18-$E$19)*$J$17</f>
        <v>0.48190151553303712</v>
      </c>
      <c r="K159" s="19">
        <f t="shared" si="18"/>
        <v>0.70888871553303656</v>
      </c>
      <c r="M159" s="13" t="s">
        <v>69</v>
      </c>
    </row>
    <row r="160" spans="1:14" x14ac:dyDescent="0.25">
      <c r="A160" s="1">
        <v>118</v>
      </c>
      <c r="B160" s="47">
        <v>45718</v>
      </c>
      <c r="C160" s="66">
        <v>34242156</v>
      </c>
      <c r="D160" s="109">
        <v>78</v>
      </c>
      <c r="E160" s="5">
        <v>9.7850000000000001</v>
      </c>
      <c r="F160" s="5">
        <v>10.371</v>
      </c>
      <c r="G160" s="5">
        <f>F160-E160</f>
        <v>0.5860000000000003</v>
      </c>
      <c r="H160" s="16">
        <f t="shared" si="24"/>
        <v>0.50384280000000026</v>
      </c>
      <c r="I160" s="16"/>
      <c r="J160" s="16">
        <f>D160/($E$18-$E$19)*$J$17</f>
        <v>0.63709013917926949</v>
      </c>
      <c r="K160" s="19">
        <f t="shared" si="18"/>
        <v>1.1409329391792697</v>
      </c>
      <c r="M160" s="13" t="s">
        <v>69</v>
      </c>
    </row>
    <row r="161" spans="1:15" x14ac:dyDescent="0.25">
      <c r="A161" s="1">
        <v>119</v>
      </c>
      <c r="B161" s="47">
        <v>45755</v>
      </c>
      <c r="C161" s="66">
        <v>34242162</v>
      </c>
      <c r="D161" s="109">
        <v>85.5</v>
      </c>
      <c r="E161" s="5">
        <v>31.626999999999999</v>
      </c>
      <c r="F161" s="5">
        <v>32.506</v>
      </c>
      <c r="G161" s="5">
        <f>F161-E161</f>
        <v>0.87900000000000134</v>
      </c>
      <c r="H161" s="16">
        <f t="shared" si="24"/>
        <v>0.75576420000000111</v>
      </c>
      <c r="I161" s="19"/>
      <c r="J161" s="16">
        <f>D161/($E$18-$E$19)*$J$17</f>
        <v>0.69834880640804542</v>
      </c>
      <c r="K161" s="19">
        <f t="shared" si="18"/>
        <v>1.4541130064080465</v>
      </c>
      <c r="M161" s="13" t="s">
        <v>69</v>
      </c>
    </row>
    <row r="162" spans="1:15" x14ac:dyDescent="0.25">
      <c r="A162" s="1">
        <v>120</v>
      </c>
      <c r="B162" s="47">
        <v>45922</v>
      </c>
      <c r="C162" s="66">
        <v>20140179</v>
      </c>
      <c r="D162" s="109">
        <v>58.9</v>
      </c>
      <c r="E162" s="5">
        <v>29.959</v>
      </c>
      <c r="F162" s="5">
        <v>30.765999999999998</v>
      </c>
      <c r="G162" s="5">
        <f>F162-E162</f>
        <v>0.80699999999999861</v>
      </c>
      <c r="H162" s="16">
        <f t="shared" si="24"/>
        <v>0.69385859999999877</v>
      </c>
      <c r="I162" s="19"/>
      <c r="J162" s="16">
        <f>D162/($E$18-$E$19)*$J$17</f>
        <v>0.48108473330332013</v>
      </c>
      <c r="K162" s="19">
        <f t="shared" si="18"/>
        <v>1.174943333303319</v>
      </c>
      <c r="M162" s="13" t="s">
        <v>69</v>
      </c>
    </row>
    <row r="163" spans="1:15" x14ac:dyDescent="0.25">
      <c r="A163" s="1">
        <v>121</v>
      </c>
      <c r="B163" s="33"/>
      <c r="C163" s="66">
        <v>34242161</v>
      </c>
      <c r="D163" s="109">
        <v>59.2</v>
      </c>
      <c r="E163" s="5">
        <v>32.97</v>
      </c>
      <c r="F163" s="5">
        <v>34.148000000000003</v>
      </c>
      <c r="G163" s="5"/>
      <c r="H163" s="16">
        <f t="shared" si="24"/>
        <v>0</v>
      </c>
      <c r="I163" s="16">
        <f>((D163*0.015)*12)/7</f>
        <v>1.5222857142857145</v>
      </c>
      <c r="J163" s="16"/>
      <c r="K163" s="19">
        <f t="shared" si="18"/>
        <v>1.5222857142857145</v>
      </c>
      <c r="M163" s="13" t="s">
        <v>71</v>
      </c>
    </row>
    <row r="164" spans="1:15" x14ac:dyDescent="0.25">
      <c r="A164" s="1">
        <v>122</v>
      </c>
      <c r="B164" s="34"/>
      <c r="C164" s="66">
        <v>34242151</v>
      </c>
      <c r="D164" s="109">
        <v>78.099999999999994</v>
      </c>
      <c r="E164" s="5">
        <v>28.242000000000001</v>
      </c>
      <c r="F164" s="5">
        <v>29.765999999999998</v>
      </c>
      <c r="G164" s="5"/>
      <c r="H164" s="16">
        <f t="shared" si="24"/>
        <v>0</v>
      </c>
      <c r="I164" s="16">
        <f>((D164*0.015)*12)/7</f>
        <v>2.0082857142857136</v>
      </c>
      <c r="J164" s="16"/>
      <c r="K164" s="19">
        <f t="shared" si="18"/>
        <v>2.0082857142857136</v>
      </c>
      <c r="M164" s="13" t="s">
        <v>71</v>
      </c>
    </row>
    <row r="165" spans="1:15" x14ac:dyDescent="0.25">
      <c r="A165" s="1">
        <v>123</v>
      </c>
      <c r="B165" s="47">
        <v>45748</v>
      </c>
      <c r="C165" s="66">
        <v>34242148</v>
      </c>
      <c r="D165" s="109">
        <v>85.2</v>
      </c>
      <c r="E165" s="5">
        <v>14.413</v>
      </c>
      <c r="F165" s="5">
        <v>14.731999999999999</v>
      </c>
      <c r="G165" s="5">
        <f>F165-E165</f>
        <v>0.31899999999999906</v>
      </c>
      <c r="H165" s="16">
        <f t="shared" si="24"/>
        <v>0.27427619999999919</v>
      </c>
      <c r="I165" s="19"/>
      <c r="J165" s="16">
        <f>D165/($E$18-$E$19)*$J$17</f>
        <v>0.69589845971889441</v>
      </c>
      <c r="K165" s="19">
        <f t="shared" si="18"/>
        <v>0.97017465971889361</v>
      </c>
      <c r="M165" s="13" t="s">
        <v>69</v>
      </c>
    </row>
    <row r="166" spans="1:15" x14ac:dyDescent="0.25">
      <c r="A166" s="1">
        <v>124</v>
      </c>
      <c r="B166" s="47">
        <v>45747</v>
      </c>
      <c r="C166" s="66">
        <v>34242163</v>
      </c>
      <c r="D166" s="109">
        <v>59.3</v>
      </c>
      <c r="E166" s="5">
        <v>34.182000000000002</v>
      </c>
      <c r="F166" s="5">
        <v>35.313000000000002</v>
      </c>
      <c r="G166" s="5">
        <f>F166-E166</f>
        <v>1.1310000000000002</v>
      </c>
      <c r="H166" s="16">
        <f t="shared" si="24"/>
        <v>0.97243380000000024</v>
      </c>
      <c r="I166" s="19"/>
      <c r="J166" s="16">
        <f>D166/($E$18-$E$19)*$J$17</f>
        <v>0.48435186222218818</v>
      </c>
      <c r="K166" s="19">
        <f t="shared" si="18"/>
        <v>1.4567856622221884</v>
      </c>
      <c r="M166" s="13" t="s">
        <v>69</v>
      </c>
    </row>
    <row r="167" spans="1:15" x14ac:dyDescent="0.25">
      <c r="A167" s="1">
        <v>125</v>
      </c>
      <c r="B167" s="47">
        <v>45944</v>
      </c>
      <c r="C167" s="66">
        <v>34242153</v>
      </c>
      <c r="D167" s="109">
        <v>59.2</v>
      </c>
      <c r="E167" s="5">
        <v>37.911000000000001</v>
      </c>
      <c r="F167" s="5">
        <v>40.313000000000002</v>
      </c>
      <c r="G167" s="5">
        <f>F167-E167</f>
        <v>2.402000000000001</v>
      </c>
      <c r="H167" s="16">
        <f t="shared" si="24"/>
        <v>2.0652396000000008</v>
      </c>
      <c r="I167" s="19"/>
      <c r="J167" s="16">
        <f>D167/($E$18-$E$19)*$J$17</f>
        <v>0.48353507999247125</v>
      </c>
      <c r="K167" s="19">
        <f t="shared" si="18"/>
        <v>2.548774679992472</v>
      </c>
      <c r="M167" s="13" t="s">
        <v>69</v>
      </c>
    </row>
    <row r="168" spans="1:15" x14ac:dyDescent="0.25">
      <c r="A168" s="1">
        <v>126</v>
      </c>
      <c r="B168" s="48">
        <v>45875</v>
      </c>
      <c r="C168" s="66">
        <v>20140213</v>
      </c>
      <c r="D168" s="109">
        <v>77.599999999999994</v>
      </c>
      <c r="E168" s="5">
        <v>6.8339999999999996</v>
      </c>
      <c r="F168" s="5">
        <v>6.8339999999999996</v>
      </c>
      <c r="G168" s="5">
        <f>F168-E168</f>
        <v>0</v>
      </c>
      <c r="H168" s="16">
        <f t="shared" si="24"/>
        <v>0</v>
      </c>
      <c r="I168" s="16"/>
      <c r="J168" s="16">
        <f>D168/($E$18-$E$19)*$J$17</f>
        <v>0.63382301026040144</v>
      </c>
      <c r="K168" s="19">
        <f t="shared" si="18"/>
        <v>0.63382301026040144</v>
      </c>
      <c r="M168" s="13" t="s">
        <v>69</v>
      </c>
    </row>
    <row r="169" spans="1:15" x14ac:dyDescent="0.25">
      <c r="A169" s="1">
        <v>127</v>
      </c>
      <c r="B169" s="33"/>
      <c r="C169" s="66">
        <v>34242152</v>
      </c>
      <c r="D169" s="109">
        <v>85.2</v>
      </c>
      <c r="E169" s="5">
        <v>75.075000000000003</v>
      </c>
      <c r="F169" s="5">
        <v>77.367999999999995</v>
      </c>
      <c r="G169" s="5"/>
      <c r="H169" s="16">
        <f t="shared" si="24"/>
        <v>0</v>
      </c>
      <c r="I169" s="16">
        <f>((D169*0.015)*12)/7</f>
        <v>2.1908571428571428</v>
      </c>
      <c r="J169" s="16"/>
      <c r="K169" s="19">
        <f t="shared" si="18"/>
        <v>2.1908571428571428</v>
      </c>
      <c r="M169" s="13" t="s">
        <v>71</v>
      </c>
    </row>
    <row r="170" spans="1:15" x14ac:dyDescent="0.25">
      <c r="A170" s="1">
        <v>128</v>
      </c>
      <c r="B170" s="33"/>
      <c r="C170" s="66">
        <v>34242147</v>
      </c>
      <c r="D170" s="109">
        <v>58.9</v>
      </c>
      <c r="E170" s="5">
        <v>23.512</v>
      </c>
      <c r="F170" s="5">
        <v>24.081</v>
      </c>
      <c r="G170" s="5"/>
      <c r="H170" s="16">
        <f t="shared" si="24"/>
        <v>0</v>
      </c>
      <c r="I170" s="16">
        <f>((D170*0.015)*12)/7</f>
        <v>1.5145714285714287</v>
      </c>
      <c r="J170" s="16"/>
      <c r="K170" s="19">
        <f t="shared" si="18"/>
        <v>1.5145714285714287</v>
      </c>
      <c r="M170" s="13" t="s">
        <v>71</v>
      </c>
    </row>
    <row r="171" spans="1:15" x14ac:dyDescent="0.25">
      <c r="A171" s="1">
        <v>129</v>
      </c>
      <c r="B171" s="47">
        <v>45984</v>
      </c>
      <c r="C171" s="66" t="s">
        <v>112</v>
      </c>
      <c r="D171" s="109">
        <v>58.6</v>
      </c>
      <c r="E171" s="39">
        <v>0.755</v>
      </c>
      <c r="F171" s="39">
        <v>1.89</v>
      </c>
      <c r="G171" s="5"/>
      <c r="H171" s="16">
        <f>F171-E171</f>
        <v>1.1349999999999998</v>
      </c>
      <c r="I171" s="16"/>
      <c r="J171" s="16">
        <f>D171/($E$18-$E$19)*$J$17</f>
        <v>0.47863438661416913</v>
      </c>
      <c r="K171" s="19">
        <f t="shared" si="18"/>
        <v>1.6136343866141689</v>
      </c>
      <c r="M171" s="13" t="s">
        <v>69</v>
      </c>
    </row>
    <row r="172" spans="1:15" ht="15.75" thickBot="1" x14ac:dyDescent="0.3">
      <c r="A172" s="15">
        <v>130</v>
      </c>
      <c r="B172" s="48">
        <v>45875</v>
      </c>
      <c r="C172" s="68">
        <v>34242150</v>
      </c>
      <c r="D172" s="90">
        <v>77.599999999999994</v>
      </c>
      <c r="E172" s="8">
        <v>6.798</v>
      </c>
      <c r="F172" s="8">
        <v>6.798</v>
      </c>
      <c r="G172" s="5">
        <f>F172-E172</f>
        <v>0</v>
      </c>
      <c r="H172" s="16">
        <f>G172*0.8598</f>
        <v>0</v>
      </c>
      <c r="I172" s="16"/>
      <c r="J172" s="16">
        <f>D172/($E$18-$E$19)*$J$17</f>
        <v>0.63382301026040144</v>
      </c>
      <c r="K172" s="19">
        <f t="shared" si="18"/>
        <v>0.63382301026040144</v>
      </c>
      <c r="M172" s="13" t="s">
        <v>69</v>
      </c>
    </row>
    <row r="173" spans="1:15" ht="15.75" thickBot="1" x14ac:dyDescent="0.3">
      <c r="A173" s="219" t="s">
        <v>75</v>
      </c>
      <c r="B173" s="220"/>
      <c r="C173" s="220"/>
      <c r="D173" s="92">
        <f>SUM(D117:D172)</f>
        <v>3918.9999999999991</v>
      </c>
      <c r="E173" s="221" t="s">
        <v>76</v>
      </c>
      <c r="F173" s="221"/>
      <c r="G173" s="221"/>
      <c r="H173" s="64">
        <f>SUM(H117:H172)</f>
        <v>29.32244750000001</v>
      </c>
      <c r="I173" s="64">
        <f>SUM(I117:I172)</f>
        <v>28.560857142857145</v>
      </c>
      <c r="J173" s="64">
        <f>SUM(J117:J172)</f>
        <v>22.937695357142839</v>
      </c>
      <c r="K173" s="93">
        <f>SUM(K117:K172)</f>
        <v>80.821000000000026</v>
      </c>
      <c r="M173" s="13"/>
    </row>
    <row r="174" spans="1:15" x14ac:dyDescent="0.25">
      <c r="A174" s="9">
        <v>131</v>
      </c>
      <c r="B174" s="105">
        <v>45957</v>
      </c>
      <c r="C174" s="69" t="s">
        <v>113</v>
      </c>
      <c r="D174" s="116">
        <v>84.1</v>
      </c>
      <c r="E174" s="6">
        <v>1.5089999999999999</v>
      </c>
      <c r="F174" s="6">
        <v>3.4550000000000001</v>
      </c>
      <c r="G174" s="29"/>
      <c r="H174" s="16">
        <f>F174-E174</f>
        <v>1.9460000000000002</v>
      </c>
      <c r="I174" s="16"/>
      <c r="J174" s="16">
        <f>D174/($E$25-$E$26)*$J$24</f>
        <v>0.81376379640271435</v>
      </c>
      <c r="K174" s="19">
        <f>H174+I174+J174</f>
        <v>2.7597637964027144</v>
      </c>
      <c r="M174" s="13" t="s">
        <v>69</v>
      </c>
      <c r="N174" s="12"/>
      <c r="O174" s="12"/>
    </row>
    <row r="175" spans="1:15" x14ac:dyDescent="0.25">
      <c r="A175" s="1">
        <v>132</v>
      </c>
      <c r="B175" s="47">
        <v>45915</v>
      </c>
      <c r="C175" s="66">
        <v>43242256</v>
      </c>
      <c r="D175" s="109">
        <v>56.3</v>
      </c>
      <c r="E175" s="5">
        <v>29.893999999999998</v>
      </c>
      <c r="F175" s="5">
        <v>30.335000000000001</v>
      </c>
      <c r="G175" s="28">
        <f>F175-E175</f>
        <v>0.4410000000000025</v>
      </c>
      <c r="H175" s="16">
        <f t="shared" si="24"/>
        <v>0.37917180000000217</v>
      </c>
      <c r="I175" s="19"/>
      <c r="J175" s="16">
        <f>D175/($E$25-$E$26)*$J$24</f>
        <v>0.54476696477375519</v>
      </c>
      <c r="K175" s="19">
        <f t="shared" ref="K175:K225" si="25">H175+I175+J175</f>
        <v>0.92393876477375736</v>
      </c>
      <c r="M175" s="13" t="s">
        <v>69</v>
      </c>
    </row>
    <row r="176" spans="1:15" x14ac:dyDescent="0.25">
      <c r="A176" s="1">
        <v>133</v>
      </c>
      <c r="B176" s="47">
        <v>45719</v>
      </c>
      <c r="C176" s="66">
        <v>43242235</v>
      </c>
      <c r="D176" s="109">
        <v>56.1</v>
      </c>
      <c r="E176" s="5">
        <v>13.752000000000001</v>
      </c>
      <c r="F176" s="5">
        <v>13.827999999999999</v>
      </c>
      <c r="G176" s="28">
        <f>F176-E176</f>
        <v>7.5999999999998735E-2</v>
      </c>
      <c r="H176" s="16">
        <f t="shared" si="24"/>
        <v>6.5344799999998912E-2</v>
      </c>
      <c r="I176" s="16"/>
      <c r="J176" s="16">
        <f t="shared" ref="J176:J178" si="26">D176/($E$25-$E$26)*$J$24</f>
        <v>0.54283173576923038</v>
      </c>
      <c r="K176" s="19">
        <f t="shared" si="25"/>
        <v>0.60817653576922925</v>
      </c>
      <c r="M176" s="13" t="s">
        <v>69</v>
      </c>
    </row>
    <row r="177" spans="1:15" x14ac:dyDescent="0.25">
      <c r="A177" s="1">
        <v>134</v>
      </c>
      <c r="B177" s="47">
        <v>45825</v>
      </c>
      <c r="C177" s="66">
        <v>43242250</v>
      </c>
      <c r="D177" s="109">
        <v>85.2</v>
      </c>
      <c r="E177" s="5">
        <v>32.979999999999997</v>
      </c>
      <c r="F177" s="5">
        <v>33.658999999999999</v>
      </c>
      <c r="G177" s="28">
        <f>F177-E177</f>
        <v>0.67900000000000205</v>
      </c>
      <c r="H177" s="16">
        <f t="shared" si="24"/>
        <v>0.58380420000000177</v>
      </c>
      <c r="I177" s="19"/>
      <c r="J177" s="16">
        <f t="shared" si="26"/>
        <v>0.82440755592760118</v>
      </c>
      <c r="K177" s="19">
        <f t="shared" si="25"/>
        <v>1.4082117559276028</v>
      </c>
      <c r="M177" s="13" t="s">
        <v>69</v>
      </c>
    </row>
    <row r="178" spans="1:15" x14ac:dyDescent="0.25">
      <c r="A178" s="1">
        <v>135</v>
      </c>
      <c r="B178" s="47">
        <v>45941</v>
      </c>
      <c r="C178" s="66">
        <v>34242382</v>
      </c>
      <c r="D178" s="109">
        <v>84.4</v>
      </c>
      <c r="E178" s="5">
        <v>63.848999999999997</v>
      </c>
      <c r="F178" s="5">
        <v>66.156000000000006</v>
      </c>
      <c r="G178" s="28">
        <f>F178-E178</f>
        <v>2.3070000000000093</v>
      </c>
      <c r="H178" s="16">
        <f t="shared" si="24"/>
        <v>1.9835586000000081</v>
      </c>
      <c r="I178" s="19"/>
      <c r="J178" s="16">
        <f t="shared" si="26"/>
        <v>0.81666663990950172</v>
      </c>
      <c r="K178" s="19">
        <f t="shared" si="25"/>
        <v>2.8002252399095098</v>
      </c>
      <c r="M178" s="13" t="s">
        <v>69</v>
      </c>
    </row>
    <row r="179" spans="1:15" x14ac:dyDescent="0.25">
      <c r="A179" s="1">
        <v>136</v>
      </c>
      <c r="B179" s="33"/>
      <c r="C179" s="66">
        <v>43242379</v>
      </c>
      <c r="D179" s="109">
        <v>56.2</v>
      </c>
      <c r="E179" s="5">
        <v>39.951000000000001</v>
      </c>
      <c r="F179" s="5">
        <v>40.926000000000002</v>
      </c>
      <c r="G179" s="29"/>
      <c r="H179" s="16">
        <f t="shared" si="24"/>
        <v>0</v>
      </c>
      <c r="I179" s="16">
        <f>((D179*0.015)*12)/7</f>
        <v>1.4451428571428571</v>
      </c>
      <c r="J179" s="16"/>
      <c r="K179" s="19">
        <f t="shared" si="25"/>
        <v>1.4451428571428571</v>
      </c>
      <c r="M179" s="13" t="s">
        <v>71</v>
      </c>
      <c r="O179" s="12"/>
    </row>
    <row r="180" spans="1:15" x14ac:dyDescent="0.25">
      <c r="A180" s="1">
        <v>137</v>
      </c>
      <c r="B180" s="47">
        <v>45580</v>
      </c>
      <c r="C180" s="66">
        <v>43242240</v>
      </c>
      <c r="D180" s="109">
        <v>55.7</v>
      </c>
      <c r="E180" s="5">
        <v>27.253</v>
      </c>
      <c r="F180" s="5">
        <v>28.178000000000001</v>
      </c>
      <c r="G180" s="28">
        <f>F180-E180</f>
        <v>0.92500000000000071</v>
      </c>
      <c r="H180" s="16">
        <f t="shared" si="24"/>
        <v>0.79531500000000066</v>
      </c>
      <c r="I180" s="19"/>
      <c r="J180" s="16">
        <f>D180/($E$25-$E$26)*$J$24</f>
        <v>0.53896127776018066</v>
      </c>
      <c r="K180" s="19">
        <f>H180+I180+J180</f>
        <v>1.3342762777601813</v>
      </c>
      <c r="M180" s="13" t="s">
        <v>69</v>
      </c>
    </row>
    <row r="181" spans="1:15" x14ac:dyDescent="0.25">
      <c r="A181" s="1">
        <v>138</v>
      </c>
      <c r="B181" s="47">
        <v>45580</v>
      </c>
      <c r="C181" s="66">
        <v>43242241</v>
      </c>
      <c r="D181" s="109">
        <v>84.3</v>
      </c>
      <c r="E181" s="5">
        <v>56.027999999999999</v>
      </c>
      <c r="F181" s="5">
        <v>57.564</v>
      </c>
      <c r="G181" s="28">
        <f>F181-E181</f>
        <v>1.5360000000000014</v>
      </c>
      <c r="H181" s="16">
        <f t="shared" si="24"/>
        <v>1.3206528000000013</v>
      </c>
      <c r="I181" s="19"/>
      <c r="J181" s="16">
        <f t="shared" ref="J181:J183" si="27">D181/($E$25-$E$26)*$J$24</f>
        <v>0.81569902540723926</v>
      </c>
      <c r="K181" s="19">
        <f t="shared" si="25"/>
        <v>2.1363518254072407</v>
      </c>
      <c r="M181" s="13" t="s">
        <v>69</v>
      </c>
    </row>
    <row r="182" spans="1:15" x14ac:dyDescent="0.25">
      <c r="A182" s="1">
        <v>139</v>
      </c>
      <c r="B182" s="47">
        <v>45725</v>
      </c>
      <c r="C182" s="66">
        <v>34242385</v>
      </c>
      <c r="D182" s="109">
        <v>84</v>
      </c>
      <c r="E182" s="5">
        <v>10.593999999999999</v>
      </c>
      <c r="F182" s="5">
        <v>10.609</v>
      </c>
      <c r="G182" s="28">
        <f>F182-E182</f>
        <v>1.5000000000000568E-2</v>
      </c>
      <c r="H182" s="16">
        <f t="shared" si="24"/>
        <v>1.289700000000049E-2</v>
      </c>
      <c r="I182" s="16"/>
      <c r="J182" s="16">
        <f t="shared" si="27"/>
        <v>0.812796181900452</v>
      </c>
      <c r="K182" s="19">
        <f>H182+I182+J182</f>
        <v>0.82569318190045249</v>
      </c>
      <c r="M182" s="13" t="s">
        <v>69</v>
      </c>
    </row>
    <row r="183" spans="1:15" x14ac:dyDescent="0.25">
      <c r="A183" s="1">
        <v>140</v>
      </c>
      <c r="B183" s="47">
        <v>45928</v>
      </c>
      <c r="C183" s="10" t="s">
        <v>103</v>
      </c>
      <c r="D183" s="109">
        <v>55.6</v>
      </c>
      <c r="E183" s="5">
        <v>1.992</v>
      </c>
      <c r="F183" s="5">
        <v>3.3109999999999999</v>
      </c>
      <c r="G183" s="28"/>
      <c r="H183" s="16">
        <f>F183-E183</f>
        <v>1.319</v>
      </c>
      <c r="I183" s="19"/>
      <c r="J183" s="16">
        <f t="shared" si="27"/>
        <v>0.5379936632579182</v>
      </c>
      <c r="K183" s="19">
        <f t="shared" si="25"/>
        <v>1.856993663257918</v>
      </c>
      <c r="M183" s="13" t="s">
        <v>69</v>
      </c>
    </row>
    <row r="184" spans="1:15" x14ac:dyDescent="0.25">
      <c r="A184" s="1">
        <v>141</v>
      </c>
      <c r="B184" s="33"/>
      <c r="C184" s="66">
        <v>34242390</v>
      </c>
      <c r="D184" s="109">
        <v>56.4</v>
      </c>
      <c r="E184" s="5">
        <v>17.861000000000001</v>
      </c>
      <c r="F184" s="5">
        <v>18.561</v>
      </c>
      <c r="G184" s="28"/>
      <c r="H184" s="16">
        <f>G184*0.8598</f>
        <v>0</v>
      </c>
      <c r="I184" s="16">
        <f>((D184*0.015)*12)/7</f>
        <v>1.4502857142857142</v>
      </c>
      <c r="J184" s="16"/>
      <c r="K184" s="19">
        <f t="shared" si="25"/>
        <v>1.4502857142857142</v>
      </c>
      <c r="M184" s="13" t="s">
        <v>71</v>
      </c>
      <c r="O184" s="12"/>
    </row>
    <row r="185" spans="1:15" x14ac:dyDescent="0.25">
      <c r="A185" s="1">
        <v>142</v>
      </c>
      <c r="B185" s="33" t="s">
        <v>59</v>
      </c>
      <c r="C185" s="10" t="s">
        <v>77</v>
      </c>
      <c r="D185" s="109">
        <v>84.1</v>
      </c>
      <c r="E185" s="39">
        <v>2.5977000000000001</v>
      </c>
      <c r="F185" s="39">
        <v>3.6150000000000002</v>
      </c>
      <c r="G185" s="28"/>
      <c r="H185" s="16">
        <f>F185-E185</f>
        <v>1.0173000000000001</v>
      </c>
      <c r="I185" s="19"/>
      <c r="J185" s="16">
        <f>D185/($E$25-$E$26)*$J$24</f>
        <v>0.81376379640271435</v>
      </c>
      <c r="K185" s="19">
        <f t="shared" si="25"/>
        <v>1.8310637964027143</v>
      </c>
      <c r="M185" s="13" t="s">
        <v>69</v>
      </c>
    </row>
    <row r="186" spans="1:15" x14ac:dyDescent="0.25">
      <c r="A186" s="1">
        <v>143</v>
      </c>
      <c r="B186" s="47">
        <v>45915</v>
      </c>
      <c r="C186" s="66">
        <v>34242383</v>
      </c>
      <c r="D186" s="109">
        <v>83.5</v>
      </c>
      <c r="E186" s="5">
        <v>34.392000000000003</v>
      </c>
      <c r="F186" s="5">
        <v>35.930999999999997</v>
      </c>
      <c r="G186" s="28">
        <f>F186-E186</f>
        <v>1.5389999999999944</v>
      </c>
      <c r="H186" s="16">
        <f t="shared" ref="H186:H214" si="28">G186*0.8598</f>
        <v>1.3232321999999952</v>
      </c>
      <c r="I186" s="19"/>
      <c r="J186" s="16">
        <f>D186/($E$25-$E$26)*$J$24</f>
        <v>0.8079581093891397</v>
      </c>
      <c r="K186" s="19">
        <f t="shared" si="25"/>
        <v>2.1311903093891349</v>
      </c>
      <c r="M186" s="13" t="s">
        <v>69</v>
      </c>
    </row>
    <row r="187" spans="1:15" x14ac:dyDescent="0.25">
      <c r="A187" s="1">
        <v>144</v>
      </c>
      <c r="B187" s="34"/>
      <c r="C187" s="66">
        <v>34242379</v>
      </c>
      <c r="D187" s="109">
        <v>56.3</v>
      </c>
      <c r="E187" s="5">
        <v>22.713999999999999</v>
      </c>
      <c r="F187" s="5">
        <v>23.600999999999999</v>
      </c>
      <c r="G187" s="28"/>
      <c r="H187" s="16">
        <f t="shared" si="28"/>
        <v>0</v>
      </c>
      <c r="I187" s="16">
        <f>((D187*0.015)*12)/7</f>
        <v>1.4477142857142855</v>
      </c>
      <c r="J187" s="16"/>
      <c r="K187" s="19">
        <f t="shared" si="25"/>
        <v>1.4477142857142855</v>
      </c>
      <c r="M187" s="13" t="s">
        <v>71</v>
      </c>
      <c r="O187" s="12"/>
    </row>
    <row r="188" spans="1:15" x14ac:dyDescent="0.25">
      <c r="A188" s="1">
        <v>145</v>
      </c>
      <c r="B188" s="47">
        <v>45829</v>
      </c>
      <c r="C188" s="66">
        <v>34242386</v>
      </c>
      <c r="D188" s="109">
        <v>56.6</v>
      </c>
      <c r="E188" s="5">
        <v>18.210999999999999</v>
      </c>
      <c r="F188" s="5">
        <v>19.545999999999999</v>
      </c>
      <c r="G188" s="28">
        <f>F188-E188</f>
        <v>1.3350000000000009</v>
      </c>
      <c r="H188" s="16">
        <f t="shared" si="28"/>
        <v>1.1478330000000008</v>
      </c>
      <c r="I188" s="19"/>
      <c r="J188" s="16">
        <f>D188/($E$25-$E$26)*$J$24</f>
        <v>0.54766980828054268</v>
      </c>
      <c r="K188" s="19">
        <f t="shared" si="25"/>
        <v>1.6955028082805434</v>
      </c>
      <c r="M188" s="13" t="s">
        <v>69</v>
      </c>
    </row>
    <row r="189" spans="1:15" x14ac:dyDescent="0.25">
      <c r="A189" s="1">
        <v>146</v>
      </c>
      <c r="B189" s="47">
        <v>45829</v>
      </c>
      <c r="C189" s="66">
        <v>34242384</v>
      </c>
      <c r="D189" s="109">
        <v>84.3</v>
      </c>
      <c r="E189" s="5">
        <v>19.904</v>
      </c>
      <c r="F189" s="5">
        <v>21.542000000000002</v>
      </c>
      <c r="G189" s="28">
        <f>F189-E189</f>
        <v>1.6380000000000017</v>
      </c>
      <c r="H189" s="16">
        <f t="shared" si="28"/>
        <v>1.4083524000000014</v>
      </c>
      <c r="I189" s="16"/>
      <c r="J189" s="16">
        <f t="shared" ref="J189:J191" si="29">D189/($E$25-$E$26)*$J$24</f>
        <v>0.81569902540723926</v>
      </c>
      <c r="K189" s="19">
        <f t="shared" si="25"/>
        <v>2.2240514254072408</v>
      </c>
      <c r="M189" s="13" t="s">
        <v>69</v>
      </c>
    </row>
    <row r="190" spans="1:15" x14ac:dyDescent="0.25">
      <c r="A190" s="1">
        <v>147</v>
      </c>
      <c r="B190" s="47">
        <v>45753</v>
      </c>
      <c r="C190" s="66">
        <v>34242301</v>
      </c>
      <c r="D190" s="109">
        <v>84.7</v>
      </c>
      <c r="E190" s="5">
        <v>32.344999999999999</v>
      </c>
      <c r="F190" s="5">
        <v>34.225000000000001</v>
      </c>
      <c r="G190" s="28">
        <f>F190-E190</f>
        <v>1.8800000000000026</v>
      </c>
      <c r="H190" s="16">
        <f t="shared" si="28"/>
        <v>1.6164240000000023</v>
      </c>
      <c r="I190" s="19"/>
      <c r="J190" s="16">
        <f t="shared" si="29"/>
        <v>0.81956948341628899</v>
      </c>
      <c r="K190" s="19">
        <f t="shared" si="25"/>
        <v>2.4359934834162913</v>
      </c>
      <c r="M190" s="13" t="s">
        <v>69</v>
      </c>
    </row>
    <row r="191" spans="1:15" x14ac:dyDescent="0.25">
      <c r="A191" s="1">
        <v>148</v>
      </c>
      <c r="B191" s="47">
        <v>45899</v>
      </c>
      <c r="C191" s="66">
        <v>34242298</v>
      </c>
      <c r="D191" s="109">
        <v>56.4</v>
      </c>
      <c r="E191" s="5">
        <v>23.663</v>
      </c>
      <c r="F191" s="5">
        <v>24.651</v>
      </c>
      <c r="G191" s="28">
        <f>F191-E191</f>
        <v>0.98799999999999955</v>
      </c>
      <c r="H191" s="16">
        <f t="shared" si="28"/>
        <v>0.84948239999999964</v>
      </c>
      <c r="I191" s="19"/>
      <c r="J191" s="16">
        <f t="shared" si="29"/>
        <v>0.54573457927601765</v>
      </c>
      <c r="K191" s="19">
        <f t="shared" si="25"/>
        <v>1.3952169792760172</v>
      </c>
      <c r="M191" s="13" t="s">
        <v>69</v>
      </c>
    </row>
    <row r="192" spans="1:15" x14ac:dyDescent="0.25">
      <c r="A192" s="1">
        <v>149</v>
      </c>
      <c r="B192" s="33"/>
      <c r="C192" s="66">
        <v>34242302</v>
      </c>
      <c r="D192" s="109">
        <v>56.7</v>
      </c>
      <c r="E192" s="5">
        <v>25.198</v>
      </c>
      <c r="F192" s="5">
        <v>26.308</v>
      </c>
      <c r="G192" s="28"/>
      <c r="H192" s="16">
        <f t="shared" si="28"/>
        <v>0</v>
      </c>
      <c r="I192" s="16">
        <f>((D192*0.015)*12)/7</f>
        <v>1.458</v>
      </c>
      <c r="J192" s="16"/>
      <c r="K192" s="19">
        <f t="shared" si="25"/>
        <v>1.458</v>
      </c>
      <c r="M192" s="13" t="s">
        <v>71</v>
      </c>
      <c r="O192" s="12"/>
    </row>
    <row r="193" spans="1:16" x14ac:dyDescent="0.25">
      <c r="A193" s="1">
        <v>150</v>
      </c>
      <c r="B193" s="47">
        <v>45873</v>
      </c>
      <c r="C193" s="66">
        <v>34242299</v>
      </c>
      <c r="D193" s="109">
        <v>84.6</v>
      </c>
      <c r="E193" s="5">
        <v>20.742999999999999</v>
      </c>
      <c r="F193" s="5">
        <v>20.742999999999999</v>
      </c>
      <c r="G193" s="28">
        <f>F193-E193</f>
        <v>0</v>
      </c>
      <c r="H193" s="16">
        <f t="shared" si="28"/>
        <v>0</v>
      </c>
      <c r="I193" s="16"/>
      <c r="J193" s="16">
        <f>D193/($E$25-$E$26)*$J$24</f>
        <v>0.81860186891402664</v>
      </c>
      <c r="K193" s="19">
        <f t="shared" si="25"/>
        <v>0.81860186891402664</v>
      </c>
      <c r="M193" s="13" t="s">
        <v>69</v>
      </c>
    </row>
    <row r="194" spans="1:16" x14ac:dyDescent="0.25">
      <c r="A194" s="1">
        <v>151</v>
      </c>
      <c r="B194" s="47">
        <v>45937</v>
      </c>
      <c r="C194" s="66">
        <v>34242300</v>
      </c>
      <c r="D194" s="109">
        <v>84.6</v>
      </c>
      <c r="E194" s="5">
        <v>34.082999999999998</v>
      </c>
      <c r="F194" s="5">
        <v>34.743000000000002</v>
      </c>
      <c r="G194" s="28">
        <f>F194-E194</f>
        <v>0.66000000000000369</v>
      </c>
      <c r="H194" s="16">
        <f t="shared" si="28"/>
        <v>0.56746800000000319</v>
      </c>
      <c r="I194" s="19"/>
      <c r="J194" s="16">
        <f t="shared" ref="J194:J197" si="30">D194/($E$25-$E$26)*$J$24</f>
        <v>0.81860186891402664</v>
      </c>
      <c r="K194" s="19">
        <f t="shared" si="25"/>
        <v>1.3860698689140298</v>
      </c>
      <c r="M194" s="13" t="s">
        <v>69</v>
      </c>
    </row>
    <row r="195" spans="1:16" x14ac:dyDescent="0.25">
      <c r="A195" s="1">
        <v>152</v>
      </c>
      <c r="B195" s="47">
        <v>45593</v>
      </c>
      <c r="C195" s="10" t="s">
        <v>94</v>
      </c>
      <c r="D195" s="109">
        <v>56.3</v>
      </c>
      <c r="E195" s="39">
        <v>0.2656</v>
      </c>
      <c r="F195" s="39">
        <v>0.441</v>
      </c>
      <c r="G195" s="28"/>
      <c r="H195" s="16">
        <f>F195-E195</f>
        <v>0.1754</v>
      </c>
      <c r="I195" s="19"/>
      <c r="J195" s="16">
        <f t="shared" si="30"/>
        <v>0.54476696477375519</v>
      </c>
      <c r="K195" s="19">
        <f>H195+I195+J195</f>
        <v>0.72016696477375519</v>
      </c>
      <c r="M195" s="13" t="s">
        <v>69</v>
      </c>
    </row>
    <row r="196" spans="1:16" x14ac:dyDescent="0.25">
      <c r="A196" s="1">
        <v>153</v>
      </c>
      <c r="B196" s="47">
        <v>45594</v>
      </c>
      <c r="C196" s="10" t="s">
        <v>92</v>
      </c>
      <c r="D196" s="109">
        <v>56.9</v>
      </c>
      <c r="E196" s="39">
        <v>0.40500000000000003</v>
      </c>
      <c r="F196" s="39">
        <v>0.64</v>
      </c>
      <c r="G196" s="28"/>
      <c r="H196" s="16">
        <f>F196-E196</f>
        <v>0.23499999999999999</v>
      </c>
      <c r="I196" s="19"/>
      <c r="J196" s="16">
        <f t="shared" si="30"/>
        <v>0.55057265178732995</v>
      </c>
      <c r="K196" s="19">
        <f t="shared" si="25"/>
        <v>0.78557265178732993</v>
      </c>
      <c r="M196" s="13" t="s">
        <v>69</v>
      </c>
    </row>
    <row r="197" spans="1:16" x14ac:dyDescent="0.25">
      <c r="A197" s="1">
        <v>154</v>
      </c>
      <c r="B197" s="47">
        <v>46000</v>
      </c>
      <c r="C197" s="66">
        <v>34242305</v>
      </c>
      <c r="D197" s="109">
        <v>85.7</v>
      </c>
      <c r="E197" s="5">
        <v>30.146999999999998</v>
      </c>
      <c r="F197" s="5">
        <v>30.297999999999998</v>
      </c>
      <c r="G197" s="28">
        <f>F197-E197</f>
        <v>0.1509999999999998</v>
      </c>
      <c r="H197" s="16">
        <f t="shared" si="28"/>
        <v>0.12982979999999983</v>
      </c>
      <c r="I197" s="16"/>
      <c r="J197" s="16">
        <f t="shared" si="30"/>
        <v>0.82924562843891347</v>
      </c>
      <c r="K197" s="19">
        <f t="shared" si="25"/>
        <v>0.95907542843891336</v>
      </c>
      <c r="M197" s="13" t="s">
        <v>69</v>
      </c>
      <c r="O197" s="12"/>
      <c r="P197" s="12"/>
    </row>
    <row r="198" spans="1:16" x14ac:dyDescent="0.25">
      <c r="A198" s="1">
        <v>155</v>
      </c>
      <c r="B198" s="33"/>
      <c r="C198" s="66">
        <v>34242323</v>
      </c>
      <c r="D198" s="109">
        <v>84.9</v>
      </c>
      <c r="E198" s="5">
        <v>52.651000000000003</v>
      </c>
      <c r="F198" s="5">
        <v>53.835000000000001</v>
      </c>
      <c r="G198" s="28"/>
      <c r="H198" s="16">
        <f t="shared" si="28"/>
        <v>0</v>
      </c>
      <c r="I198" s="16">
        <f>((D198*0.015)*12)/7</f>
        <v>2.1831428571428573</v>
      </c>
      <c r="J198" s="16"/>
      <c r="K198" s="19">
        <f t="shared" si="25"/>
        <v>2.1831428571428573</v>
      </c>
      <c r="M198" s="13" t="s">
        <v>71</v>
      </c>
    </row>
    <row r="199" spans="1:16" x14ac:dyDescent="0.25">
      <c r="A199" s="1">
        <v>156</v>
      </c>
      <c r="B199" s="47">
        <v>46045</v>
      </c>
      <c r="C199" s="66">
        <v>34242320</v>
      </c>
      <c r="D199" s="109">
        <v>56.8</v>
      </c>
      <c r="E199" s="5">
        <v>39.97</v>
      </c>
      <c r="F199" s="5">
        <v>39.97</v>
      </c>
      <c r="G199" s="28"/>
      <c r="H199" s="16">
        <f t="shared" si="28"/>
        <v>0</v>
      </c>
      <c r="I199" s="16">
        <f>((D199*0.015)*12)/7</f>
        <v>1.4605714285714286</v>
      </c>
      <c r="J199" s="16"/>
      <c r="K199" s="19">
        <f t="shared" si="25"/>
        <v>1.4605714285714286</v>
      </c>
      <c r="M199" s="13" t="s">
        <v>71</v>
      </c>
    </row>
    <row r="200" spans="1:16" x14ac:dyDescent="0.25">
      <c r="A200" s="1">
        <v>157</v>
      </c>
      <c r="B200" s="47">
        <v>45934</v>
      </c>
      <c r="C200" s="66">
        <v>34242321</v>
      </c>
      <c r="D200" s="109">
        <v>57.1</v>
      </c>
      <c r="E200" s="5">
        <v>37.918999999999997</v>
      </c>
      <c r="F200" s="5">
        <v>38.79</v>
      </c>
      <c r="G200" s="28">
        <f>F200-E200</f>
        <v>0.87100000000000222</v>
      </c>
      <c r="H200" s="16">
        <f t="shared" si="28"/>
        <v>0.74888580000000193</v>
      </c>
      <c r="I200" s="19"/>
      <c r="J200" s="16">
        <f>D200/($E$25-$E$26)*$J$24</f>
        <v>0.55250788079185487</v>
      </c>
      <c r="K200" s="19">
        <f t="shared" si="25"/>
        <v>1.3013936807918567</v>
      </c>
      <c r="M200" s="13" t="s">
        <v>69</v>
      </c>
    </row>
    <row r="201" spans="1:16" x14ac:dyDescent="0.25">
      <c r="A201" s="1">
        <v>158</v>
      </c>
      <c r="B201" s="33"/>
      <c r="C201" s="66">
        <v>34242304</v>
      </c>
      <c r="D201" s="109">
        <v>85.5</v>
      </c>
      <c r="E201" s="5">
        <v>44.694000000000003</v>
      </c>
      <c r="F201" s="5">
        <v>46.566000000000003</v>
      </c>
      <c r="G201" s="28"/>
      <c r="H201" s="16">
        <f t="shared" si="28"/>
        <v>0</v>
      </c>
      <c r="I201" s="16">
        <f>((D201*0.015)*12)/7</f>
        <v>2.1985714285714288</v>
      </c>
      <c r="J201" s="16"/>
      <c r="K201" s="19">
        <f t="shared" si="25"/>
        <v>2.1985714285714288</v>
      </c>
      <c r="M201" s="13" t="s">
        <v>71</v>
      </c>
      <c r="O201" s="12"/>
    </row>
    <row r="202" spans="1:16" x14ac:dyDescent="0.25">
      <c r="A202" s="1">
        <v>159</v>
      </c>
      <c r="B202" s="47">
        <v>45907</v>
      </c>
      <c r="C202" s="66">
        <v>34242308</v>
      </c>
      <c r="D202" s="109">
        <v>84.6</v>
      </c>
      <c r="E202" s="74">
        <f>42.092+1.269</f>
        <v>43.360999999999997</v>
      </c>
      <c r="F202" s="74">
        <v>44.381</v>
      </c>
      <c r="G202" s="28">
        <f>F202-E202</f>
        <v>1.0200000000000031</v>
      </c>
      <c r="H202" s="16">
        <f t="shared" si="28"/>
        <v>0.87699600000000266</v>
      </c>
      <c r="I202" s="16"/>
      <c r="J202" s="16">
        <f>D202/($E$25-$E$26)*$J$24</f>
        <v>0.81860186891402664</v>
      </c>
      <c r="K202" s="19">
        <f t="shared" si="25"/>
        <v>1.6955978689140294</v>
      </c>
      <c r="M202" s="13" t="s">
        <v>69</v>
      </c>
    </row>
    <row r="203" spans="1:16" x14ac:dyDescent="0.25">
      <c r="A203" s="1">
        <v>160</v>
      </c>
      <c r="B203" s="47">
        <v>45753</v>
      </c>
      <c r="C203" s="66">
        <v>34242307</v>
      </c>
      <c r="D203" s="109">
        <v>56.3</v>
      </c>
      <c r="E203" s="5">
        <f>3.975+0.8445</f>
        <v>4.8194999999999997</v>
      </c>
      <c r="F203" s="5">
        <v>5.8330000000000002</v>
      </c>
      <c r="G203" s="28">
        <f>F203-E203</f>
        <v>1.0135000000000005</v>
      </c>
      <c r="H203" s="16">
        <f t="shared" si="28"/>
        <v>0.87140730000000044</v>
      </c>
      <c r="I203" s="16"/>
      <c r="J203" s="16">
        <f>D203/($E$25-$E$26)*$J$24</f>
        <v>0.54476696477375519</v>
      </c>
      <c r="K203" s="19">
        <f t="shared" si="25"/>
        <v>1.4161742647737556</v>
      </c>
      <c r="M203" s="13" t="s">
        <v>69</v>
      </c>
    </row>
    <row r="204" spans="1:16" x14ac:dyDescent="0.25">
      <c r="A204" s="1">
        <v>161</v>
      </c>
      <c r="B204" s="47">
        <v>45934</v>
      </c>
      <c r="C204" s="66">
        <v>34242312</v>
      </c>
      <c r="D204" s="109">
        <v>56.8</v>
      </c>
      <c r="E204" s="5">
        <f>9.809+0.852</f>
        <v>10.661</v>
      </c>
      <c r="F204" s="5">
        <v>10.661</v>
      </c>
      <c r="G204" s="28">
        <f>F204-E204</f>
        <v>0</v>
      </c>
      <c r="H204" s="16">
        <f t="shared" si="28"/>
        <v>0</v>
      </c>
      <c r="I204" s="16"/>
      <c r="J204" s="16">
        <f>D204/($E$25-$E$26)*$J$24</f>
        <v>0.54960503728506738</v>
      </c>
      <c r="K204" s="19">
        <f t="shared" si="25"/>
        <v>0.54960503728506738</v>
      </c>
      <c r="M204" s="13" t="s">
        <v>69</v>
      </c>
    </row>
    <row r="205" spans="1:16" x14ac:dyDescent="0.25">
      <c r="A205" s="1">
        <v>162</v>
      </c>
      <c r="B205" s="33"/>
      <c r="C205" s="66">
        <v>34242309</v>
      </c>
      <c r="D205" s="109">
        <v>85.2</v>
      </c>
      <c r="E205" s="5">
        <v>30.791</v>
      </c>
      <c r="F205" s="5">
        <v>30.791</v>
      </c>
      <c r="G205" s="28"/>
      <c r="H205" s="16">
        <f t="shared" si="28"/>
        <v>0</v>
      </c>
      <c r="I205" s="16">
        <f>((D205*0.015)*12)/7</f>
        <v>2.1908571428571428</v>
      </c>
      <c r="J205" s="16"/>
      <c r="K205" s="19">
        <f t="shared" si="25"/>
        <v>2.1908571428571428</v>
      </c>
      <c r="M205" s="13" t="s">
        <v>71</v>
      </c>
      <c r="O205" s="12"/>
    </row>
    <row r="206" spans="1:16" x14ac:dyDescent="0.25">
      <c r="A206" s="1">
        <v>163</v>
      </c>
      <c r="B206" s="47">
        <v>45704</v>
      </c>
      <c r="C206" s="66">
        <v>34242188</v>
      </c>
      <c r="D206" s="109">
        <v>84.4</v>
      </c>
      <c r="E206" s="5">
        <v>5.327</v>
      </c>
      <c r="F206" s="5">
        <v>5.327</v>
      </c>
      <c r="G206" s="28">
        <f>F206-E206</f>
        <v>0</v>
      </c>
      <c r="H206" s="16">
        <f>G206*0.8598</f>
        <v>0</v>
      </c>
      <c r="I206" s="16"/>
      <c r="J206" s="16">
        <f>D206/($E$25-$E$26)*$J$24</f>
        <v>0.81666663990950172</v>
      </c>
      <c r="K206" s="19">
        <f t="shared" si="25"/>
        <v>0.81666663990950172</v>
      </c>
      <c r="M206" s="13" t="s">
        <v>69</v>
      </c>
    </row>
    <row r="207" spans="1:16" x14ac:dyDescent="0.25">
      <c r="A207" s="1">
        <v>164</v>
      </c>
      <c r="B207" s="47">
        <v>45748</v>
      </c>
      <c r="C207" s="66">
        <v>34242185</v>
      </c>
      <c r="D207" s="109">
        <v>55.9</v>
      </c>
      <c r="E207" s="5">
        <v>20.253</v>
      </c>
      <c r="F207" s="5">
        <v>21.352</v>
      </c>
      <c r="G207" s="28">
        <f>F207-E207</f>
        <v>1.0990000000000002</v>
      </c>
      <c r="H207" s="16">
        <f>G207*0.8598</f>
        <v>0.94492020000000021</v>
      </c>
      <c r="I207" s="19"/>
      <c r="J207" s="16">
        <f>D207/($E$25-$E$26)*$J$24</f>
        <v>0.54089650676470546</v>
      </c>
      <c r="K207" s="19">
        <f>H207+I207+J207</f>
        <v>1.4858167067647057</v>
      </c>
      <c r="M207" s="13" t="s">
        <v>69</v>
      </c>
    </row>
    <row r="208" spans="1:16" x14ac:dyDescent="0.25">
      <c r="A208" s="1">
        <v>165</v>
      </c>
      <c r="B208" s="47">
        <v>45748</v>
      </c>
      <c r="C208" s="66">
        <v>43441088</v>
      </c>
      <c r="D208" s="109">
        <v>56.7</v>
      </c>
      <c r="E208" s="5">
        <v>18.242999999999999</v>
      </c>
      <c r="F208" s="5">
        <v>19.928999999999998</v>
      </c>
      <c r="G208" s="28">
        <f>F208-E208</f>
        <v>1.6859999999999999</v>
      </c>
      <c r="H208" s="16">
        <f t="shared" si="28"/>
        <v>1.4496228</v>
      </c>
      <c r="I208" s="19"/>
      <c r="J208" s="16">
        <f>D208/($E$25-$E$26)*$J$24</f>
        <v>0.54863742278280503</v>
      </c>
      <c r="K208" s="19">
        <f t="shared" si="25"/>
        <v>1.998260222782805</v>
      </c>
      <c r="M208" s="13" t="s">
        <v>69</v>
      </c>
    </row>
    <row r="209" spans="1:15" x14ac:dyDescent="0.25">
      <c r="A209" s="1">
        <v>166</v>
      </c>
      <c r="B209" s="47">
        <v>45795</v>
      </c>
      <c r="C209" s="66">
        <v>34242310</v>
      </c>
      <c r="D209" s="109">
        <v>85.2</v>
      </c>
      <c r="E209" s="5">
        <v>34.58</v>
      </c>
      <c r="F209" s="5">
        <v>35.46</v>
      </c>
      <c r="G209" s="28">
        <f>F209-E209</f>
        <v>0.88000000000000256</v>
      </c>
      <c r="H209" s="16">
        <f>G209*0.8598</f>
        <v>0.75662400000000218</v>
      </c>
      <c r="I209" s="19"/>
      <c r="J209" s="16">
        <f>D209/($E$25-$E$26)*$J$24</f>
        <v>0.82440755592760118</v>
      </c>
      <c r="K209" s="19">
        <f t="shared" si="25"/>
        <v>1.5810315559276034</v>
      </c>
      <c r="M209" s="13" t="s">
        <v>69</v>
      </c>
    </row>
    <row r="210" spans="1:15" x14ac:dyDescent="0.25">
      <c r="A210" s="1">
        <v>167</v>
      </c>
      <c r="B210" s="33"/>
      <c r="C210" s="66">
        <v>34242187</v>
      </c>
      <c r="D210" s="109">
        <v>84.9</v>
      </c>
      <c r="E210" s="5">
        <v>51.124000000000002</v>
      </c>
      <c r="F210" s="5">
        <v>54.326000000000001</v>
      </c>
      <c r="G210" s="28"/>
      <c r="H210" s="16">
        <f t="shared" si="28"/>
        <v>0</v>
      </c>
      <c r="I210" s="16">
        <f>((D210*0.015)*12)/7</f>
        <v>2.1831428571428573</v>
      </c>
      <c r="J210" s="16"/>
      <c r="K210" s="19">
        <f t="shared" si="25"/>
        <v>2.1831428571428573</v>
      </c>
      <c r="M210" s="13" t="s">
        <v>71</v>
      </c>
      <c r="O210" s="12"/>
    </row>
    <row r="211" spans="1:15" x14ac:dyDescent="0.25">
      <c r="A211" s="1">
        <v>168</v>
      </c>
      <c r="B211" s="33"/>
      <c r="C211" s="66">
        <v>34242189</v>
      </c>
      <c r="D211" s="109">
        <v>56.4</v>
      </c>
      <c r="E211" s="5">
        <v>5.01</v>
      </c>
      <c r="F211" s="5">
        <v>5.01</v>
      </c>
      <c r="G211" s="28"/>
      <c r="H211" s="16">
        <f t="shared" si="28"/>
        <v>0</v>
      </c>
      <c r="I211" s="16">
        <f>((D211*0.015)*12)/7</f>
        <v>1.4502857142857142</v>
      </c>
      <c r="J211" s="16"/>
      <c r="K211" s="19">
        <f t="shared" si="25"/>
        <v>1.4502857142857142</v>
      </c>
      <c r="M211" s="13" t="s">
        <v>71</v>
      </c>
      <c r="O211" s="12"/>
    </row>
    <row r="212" spans="1:15" x14ac:dyDescent="0.25">
      <c r="A212" s="1">
        <v>169</v>
      </c>
      <c r="B212" s="47">
        <v>44539</v>
      </c>
      <c r="C212" s="66">
        <v>34242191</v>
      </c>
      <c r="D212" s="109">
        <v>57</v>
      </c>
      <c r="E212" s="5">
        <v>27.382999999999999</v>
      </c>
      <c r="F212" s="5">
        <v>27.477</v>
      </c>
      <c r="G212" s="28"/>
      <c r="H212" s="16">
        <f t="shared" si="28"/>
        <v>0</v>
      </c>
      <c r="I212" s="16"/>
      <c r="J212" s="16">
        <f>D212/($E$25-$E$26)*$J$24</f>
        <v>0.55154026628959241</v>
      </c>
      <c r="K212" s="19">
        <f t="shared" si="25"/>
        <v>0.55154026628959241</v>
      </c>
      <c r="M212" s="13" t="s">
        <v>69</v>
      </c>
      <c r="O212" s="12"/>
    </row>
    <row r="213" spans="1:15" x14ac:dyDescent="0.25">
      <c r="A213" s="1">
        <v>170</v>
      </c>
      <c r="B213" s="47">
        <v>45608</v>
      </c>
      <c r="C213" s="66">
        <v>34242190</v>
      </c>
      <c r="D213" s="109">
        <v>85.3</v>
      </c>
      <c r="E213" s="5">
        <v>39.872</v>
      </c>
      <c r="F213" s="5">
        <v>41.625999999999998</v>
      </c>
      <c r="G213" s="28">
        <f>F213-E213</f>
        <v>1.7539999999999978</v>
      </c>
      <c r="H213" s="16">
        <f t="shared" si="28"/>
        <v>1.5080891999999981</v>
      </c>
      <c r="I213" s="19"/>
      <c r="J213" s="16">
        <f>D213/($E$25-$E$26)*$J$24</f>
        <v>0.82537517042986364</v>
      </c>
      <c r="K213" s="19">
        <f t="shared" si="25"/>
        <v>2.3334643704298617</v>
      </c>
      <c r="M213" s="13" t="s">
        <v>69</v>
      </c>
    </row>
    <row r="214" spans="1:15" x14ac:dyDescent="0.25">
      <c r="A214" s="1">
        <v>171</v>
      </c>
      <c r="B214" s="47">
        <v>45866</v>
      </c>
      <c r="C214" s="66">
        <v>34242184</v>
      </c>
      <c r="D214" s="109">
        <v>84.3</v>
      </c>
      <c r="E214" s="5">
        <v>7.931</v>
      </c>
      <c r="F214" s="5">
        <v>7.931</v>
      </c>
      <c r="G214" s="28">
        <f>F214-E214</f>
        <v>0</v>
      </c>
      <c r="H214" s="16">
        <f t="shared" si="28"/>
        <v>0</v>
      </c>
      <c r="I214" s="16"/>
      <c r="J214" s="16">
        <f>D214/($E$25-$E$26)*$J$24</f>
        <v>0.81569902540723926</v>
      </c>
      <c r="K214" s="19">
        <f t="shared" si="25"/>
        <v>0.81569902540723926</v>
      </c>
      <c r="M214" s="13" t="s">
        <v>69</v>
      </c>
    </row>
    <row r="215" spans="1:15" x14ac:dyDescent="0.25">
      <c r="A215" s="1">
        <v>172</v>
      </c>
      <c r="B215" s="47">
        <v>45553</v>
      </c>
      <c r="C215" s="10" t="s">
        <v>88</v>
      </c>
      <c r="D215" s="109">
        <v>56.4</v>
      </c>
      <c r="E215" s="39">
        <v>0.99</v>
      </c>
      <c r="F215" s="39">
        <v>1.202</v>
      </c>
      <c r="G215" s="28"/>
      <c r="H215" s="16">
        <f>F215-E215</f>
        <v>0.21199999999999997</v>
      </c>
      <c r="I215" s="19"/>
      <c r="J215" s="16">
        <f>D215/($E$25-$E$26)*$J$24</f>
        <v>0.54573457927601765</v>
      </c>
      <c r="K215" s="19">
        <f t="shared" si="25"/>
        <v>0.75773457927601762</v>
      </c>
      <c r="M215" s="13" t="s">
        <v>69</v>
      </c>
    </row>
    <row r="216" spans="1:15" x14ac:dyDescent="0.25">
      <c r="A216" s="1">
        <v>173</v>
      </c>
      <c r="B216" s="33"/>
      <c r="C216" s="66">
        <v>34242186</v>
      </c>
      <c r="D216" s="109">
        <v>56.9</v>
      </c>
      <c r="E216" s="5">
        <v>27.518999999999998</v>
      </c>
      <c r="F216" s="5">
        <v>28.841000000000001</v>
      </c>
      <c r="G216" s="28"/>
      <c r="H216" s="16">
        <f t="shared" ref="H216:H238" si="31">G216*0.8598</f>
        <v>0</v>
      </c>
      <c r="I216" s="16">
        <f>((D216*0.015)*12)/7</f>
        <v>1.4631428571428571</v>
      </c>
      <c r="J216" s="16"/>
      <c r="K216" s="19">
        <f t="shared" si="25"/>
        <v>1.4631428571428571</v>
      </c>
      <c r="M216" s="13" t="s">
        <v>71</v>
      </c>
    </row>
    <row r="217" spans="1:15" x14ac:dyDescent="0.25">
      <c r="A217" s="1">
        <v>174</v>
      </c>
      <c r="B217" s="47">
        <v>45671</v>
      </c>
      <c r="C217" s="66">
        <v>34242183</v>
      </c>
      <c r="D217" s="109">
        <v>85.9</v>
      </c>
      <c r="E217" s="5">
        <v>35.133000000000003</v>
      </c>
      <c r="F217" s="5">
        <v>35.648000000000003</v>
      </c>
      <c r="G217" s="28">
        <f>F217-E217</f>
        <v>0.51500000000000057</v>
      </c>
      <c r="H217" s="16">
        <f t="shared" si="31"/>
        <v>0.4427970000000005</v>
      </c>
      <c r="I217" s="19"/>
      <c r="J217" s="16">
        <f>D217/($E$25-$E$26)*$J$24</f>
        <v>0.83118085744343828</v>
      </c>
      <c r="K217" s="19">
        <f t="shared" si="25"/>
        <v>1.2739778574434388</v>
      </c>
      <c r="M217" s="13" t="s">
        <v>69</v>
      </c>
    </row>
    <row r="218" spans="1:15" x14ac:dyDescent="0.25">
      <c r="A218" s="1">
        <v>175</v>
      </c>
      <c r="B218" s="47">
        <v>45940</v>
      </c>
      <c r="C218" s="66">
        <v>34242196</v>
      </c>
      <c r="D218" s="109">
        <v>84.5</v>
      </c>
      <c r="E218" s="5">
        <f>34.523+1.2675</f>
        <v>35.790500000000002</v>
      </c>
      <c r="F218" s="5">
        <f>34.523+1.2675</f>
        <v>35.790500000000002</v>
      </c>
      <c r="G218" s="28">
        <f>F218-E218</f>
        <v>0</v>
      </c>
      <c r="H218" s="16">
        <f t="shared" si="31"/>
        <v>0</v>
      </c>
      <c r="I218" s="16"/>
      <c r="J218" s="16">
        <f>D218/($E$25-$E$26)*$J$24</f>
        <v>0.81763425441176418</v>
      </c>
      <c r="K218" s="19">
        <f t="shared" si="25"/>
        <v>0.81763425441176418</v>
      </c>
      <c r="M218" s="13" t="s">
        <v>69</v>
      </c>
    </row>
    <row r="219" spans="1:15" x14ac:dyDescent="0.25">
      <c r="A219" s="1">
        <v>176</v>
      </c>
      <c r="B219" s="47">
        <v>45748</v>
      </c>
      <c r="C219" s="66">
        <v>34242199</v>
      </c>
      <c r="D219" s="109">
        <v>56.5</v>
      </c>
      <c r="E219" s="5">
        <f>18.56+0.8475</f>
        <v>19.407499999999999</v>
      </c>
      <c r="F219" s="5">
        <f>18.56+0.8475+0.8475</f>
        <v>20.254999999999999</v>
      </c>
      <c r="G219" s="28">
        <f>F219-E219</f>
        <v>0.84750000000000014</v>
      </c>
      <c r="H219" s="16">
        <f t="shared" si="31"/>
        <v>0.72868050000000018</v>
      </c>
      <c r="I219" s="16"/>
      <c r="J219" s="16">
        <f>D219/($E$25-$E$26)*$J$24</f>
        <v>0.54670219377828022</v>
      </c>
      <c r="K219" s="19">
        <f t="shared" si="25"/>
        <v>1.2753826937782804</v>
      </c>
      <c r="M219" s="13" t="s">
        <v>69</v>
      </c>
    </row>
    <row r="220" spans="1:15" x14ac:dyDescent="0.25">
      <c r="A220" s="1">
        <v>177</v>
      </c>
      <c r="B220" s="47">
        <v>45803</v>
      </c>
      <c r="C220" s="66">
        <v>34242192</v>
      </c>
      <c r="D220" s="109">
        <v>57</v>
      </c>
      <c r="E220" s="5">
        <v>17.681999999999999</v>
      </c>
      <c r="F220" s="5">
        <v>17.681999999999999</v>
      </c>
      <c r="G220" s="28">
        <f>F220-E220</f>
        <v>0</v>
      </c>
      <c r="H220" s="16">
        <f t="shared" si="31"/>
        <v>0</v>
      </c>
      <c r="I220" s="16"/>
      <c r="J220" s="16">
        <f>D220/($E$25-$E$26)*$J$24</f>
        <v>0.55154026628959241</v>
      </c>
      <c r="K220" s="19">
        <f t="shared" si="25"/>
        <v>0.55154026628959241</v>
      </c>
      <c r="M220" s="13" t="s">
        <v>69</v>
      </c>
    </row>
    <row r="221" spans="1:15" x14ac:dyDescent="0.25">
      <c r="A221" s="1">
        <v>178</v>
      </c>
      <c r="B221" s="33"/>
      <c r="C221" s="66">
        <v>34242198</v>
      </c>
      <c r="D221" s="109">
        <v>85.8</v>
      </c>
      <c r="E221" s="5">
        <v>31.24</v>
      </c>
      <c r="F221" s="5">
        <v>31.24</v>
      </c>
      <c r="G221" s="28"/>
      <c r="H221" s="16">
        <f t="shared" si="31"/>
        <v>0</v>
      </c>
      <c r="I221" s="16">
        <f>((D221*0.015)*12)/7</f>
        <v>2.206285714285714</v>
      </c>
      <c r="J221" s="16"/>
      <c r="K221" s="19">
        <f t="shared" si="25"/>
        <v>2.206285714285714</v>
      </c>
      <c r="M221" s="13" t="s">
        <v>71</v>
      </c>
    </row>
    <row r="222" spans="1:15" x14ac:dyDescent="0.25">
      <c r="A222" s="1">
        <v>179</v>
      </c>
      <c r="B222" s="47">
        <v>45802</v>
      </c>
      <c r="C222" s="66">
        <v>34242200</v>
      </c>
      <c r="D222" s="109">
        <v>84.7</v>
      </c>
      <c r="E222" s="5">
        <v>61.625</v>
      </c>
      <c r="F222" s="5">
        <v>63.851999999999997</v>
      </c>
      <c r="G222" s="28">
        <f>F222-E222</f>
        <v>2.2269999999999968</v>
      </c>
      <c r="H222" s="16">
        <f t="shared" si="31"/>
        <v>1.9147745999999972</v>
      </c>
      <c r="I222" s="19"/>
      <c r="J222" s="16">
        <f>D222/($E$25-$E$26)*$J$24</f>
        <v>0.81956948341628899</v>
      </c>
      <c r="K222" s="19">
        <f t="shared" si="25"/>
        <v>2.7343440834162864</v>
      </c>
      <c r="M222" s="13" t="s">
        <v>69</v>
      </c>
    </row>
    <row r="223" spans="1:15" x14ac:dyDescent="0.25">
      <c r="A223" s="1">
        <v>180</v>
      </c>
      <c r="B223" s="33"/>
      <c r="C223" s="66">
        <v>34242197</v>
      </c>
      <c r="D223" s="114">
        <v>55.8</v>
      </c>
      <c r="E223" s="5">
        <v>26.16</v>
      </c>
      <c r="F223" s="5">
        <v>27.155000000000001</v>
      </c>
      <c r="G223" s="5"/>
      <c r="H223" s="16">
        <f t="shared" si="31"/>
        <v>0</v>
      </c>
      <c r="I223" s="16">
        <f t="shared" ref="I223:I232" si="32">((D223*0.015)*12)/7</f>
        <v>1.4348571428571428</v>
      </c>
      <c r="J223" s="16"/>
      <c r="K223" s="19">
        <f t="shared" si="25"/>
        <v>1.4348571428571428</v>
      </c>
      <c r="M223" s="13" t="s">
        <v>71</v>
      </c>
      <c r="O223" s="12"/>
    </row>
    <row r="224" spans="1:15" x14ac:dyDescent="0.25">
      <c r="A224" s="1">
        <v>181</v>
      </c>
      <c r="B224" s="33"/>
      <c r="C224" s="66">
        <v>34242193</v>
      </c>
      <c r="D224" s="114">
        <v>57</v>
      </c>
      <c r="E224" s="5">
        <v>13.215</v>
      </c>
      <c r="F224" s="5">
        <v>13.936</v>
      </c>
      <c r="G224" s="5"/>
      <c r="H224" s="16">
        <f t="shared" si="31"/>
        <v>0</v>
      </c>
      <c r="I224" s="16">
        <f t="shared" si="32"/>
        <v>1.4657142857142857</v>
      </c>
      <c r="J224" s="16"/>
      <c r="K224" s="19">
        <f t="shared" si="25"/>
        <v>1.4657142857142857</v>
      </c>
      <c r="M224" s="13" t="s">
        <v>71</v>
      </c>
      <c r="O224" s="12"/>
    </row>
    <row r="225" spans="1:15" ht="15.75" thickBot="1" x14ac:dyDescent="0.3">
      <c r="A225" s="15">
        <v>182</v>
      </c>
      <c r="B225" s="35"/>
      <c r="C225" s="68">
        <v>34242194</v>
      </c>
      <c r="D225" s="90">
        <v>85.8</v>
      </c>
      <c r="E225" s="8">
        <v>40.171999999999997</v>
      </c>
      <c r="F225" s="8">
        <v>42.561999999999998</v>
      </c>
      <c r="G225" s="8"/>
      <c r="H225" s="91">
        <f t="shared" si="31"/>
        <v>0</v>
      </c>
      <c r="I225" s="16">
        <f t="shared" si="32"/>
        <v>2.206285714285714</v>
      </c>
      <c r="J225" s="16"/>
      <c r="K225" s="19">
        <f t="shared" si="25"/>
        <v>2.206285714285714</v>
      </c>
      <c r="M225" s="13" t="s">
        <v>71</v>
      </c>
      <c r="O225" s="12"/>
    </row>
    <row r="226" spans="1:15" ht="15.75" thickBot="1" x14ac:dyDescent="0.3">
      <c r="A226" s="219" t="s">
        <v>78</v>
      </c>
      <c r="B226" s="220"/>
      <c r="C226" s="220"/>
      <c r="D226" s="92">
        <f>SUM(D174:D225)</f>
        <v>3672.6000000000013</v>
      </c>
      <c r="E226" s="221" t="s">
        <v>79</v>
      </c>
      <c r="F226" s="221"/>
      <c r="G226" s="221"/>
      <c r="H226" s="64">
        <f>SUM(H174:H225)</f>
        <v>27.330863400000016</v>
      </c>
      <c r="I226" s="64">
        <f>SUM(I174:I225)</f>
        <v>26.243999999999996</v>
      </c>
      <c r="J226" s="64">
        <f>SUM(J174:J225)</f>
        <v>25.661136599999981</v>
      </c>
      <c r="K226" s="93">
        <f>SUM(K174:K225)</f>
        <v>79.235999999999976</v>
      </c>
      <c r="M226" s="13"/>
    </row>
    <row r="227" spans="1:15" x14ac:dyDescent="0.25">
      <c r="A227" s="9">
        <v>183</v>
      </c>
      <c r="B227" s="37"/>
      <c r="C227" s="69">
        <v>34242339</v>
      </c>
      <c r="D227" s="117">
        <v>117.2</v>
      </c>
      <c r="E227" s="6">
        <v>56.936</v>
      </c>
      <c r="F227" s="6">
        <v>59.415999999999997</v>
      </c>
      <c r="G227" s="6"/>
      <c r="H227" s="19">
        <f t="shared" si="31"/>
        <v>0</v>
      </c>
      <c r="I227" s="16">
        <f t="shared" si="32"/>
        <v>3.0137142857142858</v>
      </c>
      <c r="J227" s="16"/>
      <c r="K227" s="19">
        <f>H227+I227+J227</f>
        <v>3.0137142857142858</v>
      </c>
      <c r="M227" s="13" t="s">
        <v>71</v>
      </c>
    </row>
    <row r="228" spans="1:15" x14ac:dyDescent="0.25">
      <c r="A228" s="1">
        <v>184</v>
      </c>
      <c r="B228" s="33"/>
      <c r="C228" s="66">
        <v>34242341</v>
      </c>
      <c r="D228" s="114">
        <v>58.1</v>
      </c>
      <c r="E228" s="5">
        <v>32.817</v>
      </c>
      <c r="F228" s="5">
        <v>34.662999999999997</v>
      </c>
      <c r="G228" s="5"/>
      <c r="H228" s="16">
        <f t="shared" si="31"/>
        <v>0</v>
      </c>
      <c r="I228" s="16">
        <f t="shared" si="32"/>
        <v>1.4939999999999998</v>
      </c>
      <c r="J228" s="16"/>
      <c r="K228" s="19">
        <f t="shared" ref="K228:K291" si="33">H228+I228+J228</f>
        <v>1.4939999999999998</v>
      </c>
      <c r="M228" s="13" t="s">
        <v>71</v>
      </c>
    </row>
    <row r="229" spans="1:15" x14ac:dyDescent="0.25">
      <c r="A229" s="1">
        <v>185</v>
      </c>
      <c r="B229" s="33"/>
      <c r="C229" s="66">
        <v>34242160</v>
      </c>
      <c r="D229" s="114">
        <v>58.4</v>
      </c>
      <c r="E229" s="5">
        <v>14.632</v>
      </c>
      <c r="F229" s="5">
        <v>14.632</v>
      </c>
      <c r="G229" s="5"/>
      <c r="H229" s="16">
        <f t="shared" si="31"/>
        <v>0</v>
      </c>
      <c r="I229" s="16">
        <f t="shared" si="32"/>
        <v>1.5017142857142858</v>
      </c>
      <c r="J229" s="16"/>
      <c r="K229" s="19">
        <f t="shared" si="33"/>
        <v>1.5017142857142858</v>
      </c>
      <c r="M229" s="13" t="s">
        <v>71</v>
      </c>
    </row>
    <row r="230" spans="1:15" x14ac:dyDescent="0.25">
      <c r="A230" s="1">
        <v>186</v>
      </c>
      <c r="B230" s="33"/>
      <c r="C230" s="66">
        <v>43441091</v>
      </c>
      <c r="D230" s="114">
        <v>46.7</v>
      </c>
      <c r="E230" s="5">
        <v>31.983000000000001</v>
      </c>
      <c r="F230" s="5">
        <v>33.981000000000002</v>
      </c>
      <c r="G230" s="5"/>
      <c r="H230" s="16">
        <f t="shared" si="31"/>
        <v>0</v>
      </c>
      <c r="I230" s="16">
        <f t="shared" si="32"/>
        <v>1.2008571428571428</v>
      </c>
      <c r="J230" s="16"/>
      <c r="K230" s="19">
        <f t="shared" si="33"/>
        <v>1.2008571428571428</v>
      </c>
      <c r="M230" s="13" t="s">
        <v>71</v>
      </c>
    </row>
    <row r="231" spans="1:15" x14ac:dyDescent="0.25">
      <c r="A231" s="1">
        <v>187</v>
      </c>
      <c r="B231" s="47">
        <v>45654</v>
      </c>
      <c r="C231" s="66">
        <v>34242342</v>
      </c>
      <c r="D231" s="114">
        <v>77.400000000000006</v>
      </c>
      <c r="E231" s="5">
        <v>48.179000000000002</v>
      </c>
      <c r="F231" s="5">
        <v>49.48</v>
      </c>
      <c r="G231" s="5">
        <f>F231-E231</f>
        <v>1.3009999999999948</v>
      </c>
      <c r="H231" s="16">
        <f>G231*0.8598</f>
        <v>1.1185997999999955</v>
      </c>
      <c r="I231" s="19"/>
      <c r="J231" s="16">
        <f>D231/($E$32-$E$33)*$J$31</f>
        <v>0.25619250940633459</v>
      </c>
      <c r="K231" s="19">
        <f t="shared" si="33"/>
        <v>1.3747923094063301</v>
      </c>
      <c r="M231" s="13" t="s">
        <v>69</v>
      </c>
    </row>
    <row r="232" spans="1:15" x14ac:dyDescent="0.25">
      <c r="A232" s="1">
        <v>188</v>
      </c>
      <c r="B232" s="34"/>
      <c r="C232" s="66">
        <v>34242334</v>
      </c>
      <c r="D232" s="114">
        <v>117.2</v>
      </c>
      <c r="E232" s="5">
        <v>40.18</v>
      </c>
      <c r="F232" s="5">
        <v>42.49</v>
      </c>
      <c r="G232" s="5"/>
      <c r="H232" s="16">
        <f t="shared" si="31"/>
        <v>0</v>
      </c>
      <c r="I232" s="16">
        <f t="shared" si="32"/>
        <v>3.0137142857142858</v>
      </c>
      <c r="J232" s="16"/>
      <c r="K232" s="19">
        <f t="shared" si="33"/>
        <v>3.0137142857142858</v>
      </c>
      <c r="M232" s="13" t="s">
        <v>71</v>
      </c>
    </row>
    <row r="233" spans="1:15" x14ac:dyDescent="0.25">
      <c r="A233" s="1">
        <v>189</v>
      </c>
      <c r="B233" s="47">
        <v>45566</v>
      </c>
      <c r="C233" s="49" t="s">
        <v>89</v>
      </c>
      <c r="D233" s="114">
        <v>58.7</v>
      </c>
      <c r="E233" s="39">
        <v>4.4268999999999998</v>
      </c>
      <c r="F233" s="39">
        <v>5.6719999999999997</v>
      </c>
      <c r="G233" s="5"/>
      <c r="H233" s="16">
        <f>F233-E233</f>
        <v>1.2450999999999999</v>
      </c>
      <c r="I233" s="19"/>
      <c r="J233" s="16">
        <f t="shared" ref="J233:J237" si="34">D233/($E$32-$E$33)*$J$31</f>
        <v>0.19429586953684547</v>
      </c>
      <c r="K233" s="19">
        <f t="shared" si="33"/>
        <v>1.4393958695368454</v>
      </c>
      <c r="M233" s="13" t="s">
        <v>69</v>
      </c>
    </row>
    <row r="234" spans="1:15" x14ac:dyDescent="0.25">
      <c r="A234" s="1">
        <v>190</v>
      </c>
      <c r="B234" s="48">
        <v>45704</v>
      </c>
      <c r="C234" s="66">
        <v>34242340</v>
      </c>
      <c r="D234" s="114">
        <v>58.2</v>
      </c>
      <c r="E234" s="5">
        <v>34.53</v>
      </c>
      <c r="F234" s="5">
        <v>36.25</v>
      </c>
      <c r="G234" s="5">
        <f>F234-E234</f>
        <v>1.7199999999999989</v>
      </c>
      <c r="H234" s="16">
        <f t="shared" si="31"/>
        <v>1.4788559999999991</v>
      </c>
      <c r="I234" s="19"/>
      <c r="J234" s="16">
        <f t="shared" si="34"/>
        <v>0.1926408791660035</v>
      </c>
      <c r="K234" s="19">
        <f t="shared" si="33"/>
        <v>1.6714968791660025</v>
      </c>
      <c r="M234" s="13" t="s">
        <v>69</v>
      </c>
    </row>
    <row r="235" spans="1:15" x14ac:dyDescent="0.25">
      <c r="A235" s="1">
        <v>191</v>
      </c>
      <c r="B235" s="47">
        <v>45668</v>
      </c>
      <c r="C235" s="10" t="s">
        <v>93</v>
      </c>
      <c r="D235" s="114">
        <v>46.6</v>
      </c>
      <c r="E235" s="5">
        <v>0.157</v>
      </c>
      <c r="F235" s="5">
        <v>0.16400000000000001</v>
      </c>
      <c r="G235" s="58"/>
      <c r="H235" s="16">
        <f>F235-E235</f>
        <v>7.0000000000000062E-3</v>
      </c>
      <c r="I235" s="16"/>
      <c r="J235" s="16">
        <f t="shared" si="34"/>
        <v>0.15424510256247015</v>
      </c>
      <c r="K235" s="19">
        <f>H235+I235+J235</f>
        <v>0.16124510256247016</v>
      </c>
      <c r="M235" s="13" t="s">
        <v>69</v>
      </c>
    </row>
    <row r="236" spans="1:15" x14ac:dyDescent="0.25">
      <c r="A236" s="1">
        <v>192</v>
      </c>
      <c r="B236" s="33" t="s">
        <v>59</v>
      </c>
      <c r="C236" s="10" t="s">
        <v>80</v>
      </c>
      <c r="D236" s="109">
        <v>77.3</v>
      </c>
      <c r="E236" s="39">
        <v>2.4700000000000002</v>
      </c>
      <c r="F236" s="39">
        <v>2.8159999999999998</v>
      </c>
      <c r="G236" s="28"/>
      <c r="H236" s="16">
        <f>F236-E236</f>
        <v>0.34599999999999964</v>
      </c>
      <c r="I236" s="19"/>
      <c r="J236" s="16">
        <f t="shared" si="34"/>
        <v>0.25586151133216617</v>
      </c>
      <c r="K236" s="19">
        <f>H236+I236+J236</f>
        <v>0.60186151133216581</v>
      </c>
      <c r="M236" s="13" t="s">
        <v>69</v>
      </c>
    </row>
    <row r="237" spans="1:15" x14ac:dyDescent="0.25">
      <c r="A237" s="1">
        <v>193</v>
      </c>
      <c r="B237" s="47">
        <v>45741</v>
      </c>
      <c r="C237" s="66">
        <v>34242324</v>
      </c>
      <c r="D237" s="109">
        <v>116.7</v>
      </c>
      <c r="E237" s="5">
        <v>11.176</v>
      </c>
      <c r="F237" s="5">
        <v>11.222</v>
      </c>
      <c r="G237" s="28">
        <f>F237-E237</f>
        <v>4.5999999999999375E-2</v>
      </c>
      <c r="H237" s="16">
        <f t="shared" si="31"/>
        <v>3.9550799999999463E-2</v>
      </c>
      <c r="I237" s="16"/>
      <c r="J237" s="16">
        <f t="shared" si="34"/>
        <v>0.38627475255451221</v>
      </c>
      <c r="K237" s="19">
        <f t="shared" si="33"/>
        <v>0.42582555255451165</v>
      </c>
      <c r="M237" s="13" t="s">
        <v>69</v>
      </c>
    </row>
    <row r="238" spans="1:15" x14ac:dyDescent="0.25">
      <c r="A238" s="42">
        <v>194</v>
      </c>
      <c r="B238" s="34"/>
      <c r="C238" s="70">
        <v>34242331</v>
      </c>
      <c r="D238" s="59">
        <v>58</v>
      </c>
      <c r="E238" s="5">
        <v>4.4710000000000001</v>
      </c>
      <c r="F238" s="5">
        <v>4.4710000000000001</v>
      </c>
      <c r="G238" s="28"/>
      <c r="H238" s="16">
        <f t="shared" si="31"/>
        <v>0</v>
      </c>
      <c r="I238" s="16">
        <f>((D238*0.015)*12)/7</f>
        <v>1.4914285714285713</v>
      </c>
      <c r="J238" s="16"/>
      <c r="K238" s="19">
        <f t="shared" si="33"/>
        <v>1.4914285714285713</v>
      </c>
      <c r="M238" s="13" t="s">
        <v>71</v>
      </c>
    </row>
    <row r="239" spans="1:15" x14ac:dyDescent="0.25">
      <c r="A239" s="1">
        <v>195</v>
      </c>
      <c r="B239" s="47">
        <v>45553</v>
      </c>
      <c r="C239" s="10" t="s">
        <v>98</v>
      </c>
      <c r="D239" s="109">
        <v>58.1</v>
      </c>
      <c r="E239" s="39">
        <v>1.8380000000000001</v>
      </c>
      <c r="F239" s="39">
        <v>2.3119999999999998</v>
      </c>
      <c r="G239" s="28"/>
      <c r="H239" s="16">
        <f>F239-E239</f>
        <v>0.47399999999999975</v>
      </c>
      <c r="I239" s="19"/>
      <c r="J239" s="16">
        <f t="shared" ref="J239:J242" si="35">D239/($E$32-$E$33)*$J$31</f>
        <v>0.19230988109183511</v>
      </c>
      <c r="K239" s="19">
        <f>H239+I239+J239</f>
        <v>0.66630988109183487</v>
      </c>
      <c r="M239" s="13" t="s">
        <v>69</v>
      </c>
    </row>
    <row r="240" spans="1:15" x14ac:dyDescent="0.25">
      <c r="A240" s="1">
        <v>196</v>
      </c>
      <c r="B240" s="47">
        <v>45553</v>
      </c>
      <c r="C240" s="10" t="s">
        <v>99</v>
      </c>
      <c r="D240" s="109">
        <v>46.7</v>
      </c>
      <c r="E240" s="39">
        <v>1.1220000000000001</v>
      </c>
      <c r="F240" s="39">
        <v>1.3360000000000001</v>
      </c>
      <c r="G240" s="28"/>
      <c r="H240" s="16">
        <f>F240-E240</f>
        <v>0.21399999999999997</v>
      </c>
      <c r="I240" s="19"/>
      <c r="J240" s="16">
        <f t="shared" si="35"/>
        <v>0.15457610063663854</v>
      </c>
      <c r="K240" s="19">
        <f t="shared" si="33"/>
        <v>0.36857610063663848</v>
      </c>
      <c r="L240" s="24"/>
      <c r="M240" s="13" t="s">
        <v>69</v>
      </c>
    </row>
    <row r="241" spans="1:13" x14ac:dyDescent="0.25">
      <c r="A241" s="9">
        <v>197</v>
      </c>
      <c r="B241" s="105">
        <v>45955</v>
      </c>
      <c r="C241" s="69" t="s">
        <v>114</v>
      </c>
      <c r="D241" s="116">
        <v>77.5</v>
      </c>
      <c r="E241" s="39">
        <v>1.2578</v>
      </c>
      <c r="F241" s="39">
        <v>3.2280000000000002</v>
      </c>
      <c r="G241" s="28"/>
      <c r="H241" s="16">
        <f>F241-E241</f>
        <v>1.9702000000000002</v>
      </c>
      <c r="I241" s="16"/>
      <c r="J241" s="16">
        <f t="shared" si="35"/>
        <v>0.25652350748050295</v>
      </c>
      <c r="K241" s="19">
        <f t="shared" si="33"/>
        <v>2.2267235074805032</v>
      </c>
      <c r="L241" s="24"/>
      <c r="M241" s="13" t="s">
        <v>69</v>
      </c>
    </row>
    <row r="242" spans="1:13" x14ac:dyDescent="0.25">
      <c r="A242" s="1">
        <v>198</v>
      </c>
      <c r="B242" s="47">
        <v>45900</v>
      </c>
      <c r="C242" s="66">
        <v>34242333</v>
      </c>
      <c r="D242" s="109">
        <v>116.5</v>
      </c>
      <c r="E242" s="5">
        <v>34.674999999999997</v>
      </c>
      <c r="F242" s="5">
        <v>36.630000000000003</v>
      </c>
      <c r="G242" s="28">
        <f>F242-E242</f>
        <v>1.9550000000000054</v>
      </c>
      <c r="H242" s="16">
        <f t="shared" ref="H242:H263" si="36">G242*0.8598</f>
        <v>1.6809090000000046</v>
      </c>
      <c r="I242" s="19"/>
      <c r="J242" s="16">
        <f t="shared" si="35"/>
        <v>0.38561275640617537</v>
      </c>
      <c r="K242" s="19">
        <f t="shared" si="33"/>
        <v>2.0665217564061802</v>
      </c>
      <c r="L242" s="24"/>
      <c r="M242" s="13" t="s">
        <v>69</v>
      </c>
    </row>
    <row r="243" spans="1:13" x14ac:dyDescent="0.25">
      <c r="A243" s="1">
        <v>199</v>
      </c>
      <c r="B243" s="33"/>
      <c r="C243" s="66">
        <v>34242330</v>
      </c>
      <c r="D243" s="109">
        <v>58.8</v>
      </c>
      <c r="E243" s="5">
        <v>41.445</v>
      </c>
      <c r="F243" s="5">
        <v>43.034999999999997</v>
      </c>
      <c r="G243" s="28"/>
      <c r="H243" s="16">
        <f t="shared" si="36"/>
        <v>0</v>
      </c>
      <c r="I243" s="16">
        <f>((D243*0.015)*12)/7</f>
        <v>1.512</v>
      </c>
      <c r="J243" s="16"/>
      <c r="K243" s="19">
        <f t="shared" si="33"/>
        <v>1.512</v>
      </c>
      <c r="M243" s="13" t="s">
        <v>71</v>
      </c>
    </row>
    <row r="244" spans="1:13" x14ac:dyDescent="0.25">
      <c r="A244" s="1">
        <v>200</v>
      </c>
      <c r="B244" s="47">
        <v>45873</v>
      </c>
      <c r="C244" s="66">
        <v>34242329</v>
      </c>
      <c r="D244" s="109">
        <v>58.6</v>
      </c>
      <c r="E244" s="5">
        <v>4.952</v>
      </c>
      <c r="F244" s="5">
        <v>5.944</v>
      </c>
      <c r="G244" s="28">
        <f>F244-E244</f>
        <v>0.99199999999999999</v>
      </c>
      <c r="H244" s="16">
        <f t="shared" si="36"/>
        <v>0.85292160000000006</v>
      </c>
      <c r="I244" s="16"/>
      <c r="J244" s="16">
        <f t="shared" ref="J244:J246" si="37">D244/($E$32-$E$33)*$J$31</f>
        <v>0.19396487146267707</v>
      </c>
      <c r="K244" s="19">
        <f t="shared" si="33"/>
        <v>1.0468864714626771</v>
      </c>
      <c r="M244" s="13" t="s">
        <v>69</v>
      </c>
    </row>
    <row r="245" spans="1:13" x14ac:dyDescent="0.25">
      <c r="A245" s="1">
        <v>201</v>
      </c>
      <c r="B245" s="47">
        <v>45650</v>
      </c>
      <c r="C245" s="66">
        <v>34242326</v>
      </c>
      <c r="D245" s="109">
        <v>46.4</v>
      </c>
      <c r="E245" s="5">
        <v>33.706000000000003</v>
      </c>
      <c r="F245" s="5">
        <v>34.451000000000001</v>
      </c>
      <c r="G245" s="28">
        <f>F245-E245</f>
        <v>0.74499999999999744</v>
      </c>
      <c r="H245" s="16">
        <f>G245*0.8598</f>
        <v>0.64055099999999776</v>
      </c>
      <c r="I245" s="19"/>
      <c r="J245" s="16">
        <f t="shared" si="37"/>
        <v>0.15358310641413339</v>
      </c>
      <c r="K245" s="19">
        <f t="shared" si="33"/>
        <v>0.79413410641413118</v>
      </c>
      <c r="M245" s="13" t="s">
        <v>69</v>
      </c>
    </row>
    <row r="246" spans="1:13" x14ac:dyDescent="0.25">
      <c r="A246" s="1">
        <v>202</v>
      </c>
      <c r="B246" s="33" t="s">
        <v>59</v>
      </c>
      <c r="C246" s="94" t="s">
        <v>60</v>
      </c>
      <c r="D246" s="109">
        <v>77.5</v>
      </c>
      <c r="E246" s="39">
        <v>11.417</v>
      </c>
      <c r="F246" s="39">
        <v>12.986000000000001</v>
      </c>
      <c r="G246" s="58"/>
      <c r="H246" s="16">
        <f>F246-E246</f>
        <v>1.5690000000000008</v>
      </c>
      <c r="I246" s="19"/>
      <c r="J246" s="16">
        <f t="shared" si="37"/>
        <v>0.25652350748050295</v>
      </c>
      <c r="K246" s="19">
        <f>H246+I246+J246</f>
        <v>1.8255235074805038</v>
      </c>
      <c r="M246" s="13" t="s">
        <v>69</v>
      </c>
    </row>
    <row r="247" spans="1:13" x14ac:dyDescent="0.25">
      <c r="A247" s="1">
        <v>203</v>
      </c>
      <c r="B247" s="33"/>
      <c r="C247" s="66">
        <v>43441405</v>
      </c>
      <c r="D247" s="109">
        <v>117.4</v>
      </c>
      <c r="E247" s="5">
        <v>55.564999999999998</v>
      </c>
      <c r="F247" s="5">
        <v>57.765999999999998</v>
      </c>
      <c r="G247" s="28"/>
      <c r="H247" s="16">
        <f t="shared" si="36"/>
        <v>0</v>
      </c>
      <c r="I247" s="16">
        <f>((D247*0.015)*12)/7</f>
        <v>3.0188571428571431</v>
      </c>
      <c r="J247" s="16"/>
      <c r="K247" s="19">
        <f t="shared" si="33"/>
        <v>3.0188571428571431</v>
      </c>
      <c r="M247" s="13" t="s">
        <v>71</v>
      </c>
    </row>
    <row r="248" spans="1:13" x14ac:dyDescent="0.25">
      <c r="A248" s="1">
        <v>204</v>
      </c>
      <c r="B248" s="33"/>
      <c r="C248" s="66">
        <v>43441406</v>
      </c>
      <c r="D248" s="109">
        <v>57.9</v>
      </c>
      <c r="E248" s="5">
        <v>7.1280000000000001</v>
      </c>
      <c r="F248" s="5">
        <v>7.2160000000000002</v>
      </c>
      <c r="G248" s="28"/>
      <c r="H248" s="16">
        <f t="shared" si="36"/>
        <v>0</v>
      </c>
      <c r="I248" s="16">
        <f>((D248*0.015)*12)/7</f>
        <v>1.4888571428571427</v>
      </c>
      <c r="J248" s="16"/>
      <c r="K248" s="19">
        <f t="shared" si="33"/>
        <v>1.4888571428571427</v>
      </c>
      <c r="M248" s="13" t="s">
        <v>71</v>
      </c>
    </row>
    <row r="249" spans="1:13" x14ac:dyDescent="0.25">
      <c r="A249" s="1">
        <v>205</v>
      </c>
      <c r="B249" s="33"/>
      <c r="C249" s="66">
        <v>43441089</v>
      </c>
      <c r="D249" s="109">
        <v>58.3</v>
      </c>
      <c r="E249" s="5">
        <v>31.111999999999998</v>
      </c>
      <c r="F249" s="5">
        <v>32.481999999999999</v>
      </c>
      <c r="G249" s="28"/>
      <c r="H249" s="16">
        <f t="shared" si="36"/>
        <v>0</v>
      </c>
      <c r="I249" s="16">
        <f>((D249*0.015)*12)/7</f>
        <v>1.4991428571428571</v>
      </c>
      <c r="J249" s="16"/>
      <c r="K249" s="19">
        <f t="shared" si="33"/>
        <v>1.4991428571428571</v>
      </c>
      <c r="M249" s="13" t="s">
        <v>71</v>
      </c>
    </row>
    <row r="250" spans="1:13" x14ac:dyDescent="0.25">
      <c r="A250" s="1">
        <v>206</v>
      </c>
      <c r="B250" s="34"/>
      <c r="C250" s="66">
        <v>20242434</v>
      </c>
      <c r="D250" s="109">
        <v>46.3</v>
      </c>
      <c r="E250" s="5">
        <v>13.473000000000001</v>
      </c>
      <c r="F250" s="5">
        <v>15.007</v>
      </c>
      <c r="G250" s="28"/>
      <c r="H250" s="16">
        <f t="shared" si="36"/>
        <v>0</v>
      </c>
      <c r="I250" s="16">
        <f>((D250*0.015)*12)/7</f>
        <v>1.1905714285714286</v>
      </c>
      <c r="J250" s="16"/>
      <c r="K250" s="19">
        <f t="shared" si="33"/>
        <v>1.1905714285714286</v>
      </c>
      <c r="M250" s="13" t="s">
        <v>71</v>
      </c>
    </row>
    <row r="251" spans="1:13" x14ac:dyDescent="0.25">
      <c r="A251" s="1">
        <v>207</v>
      </c>
      <c r="B251" s="33"/>
      <c r="C251" s="66">
        <v>43441407</v>
      </c>
      <c r="D251" s="109">
        <v>77.900000000000006</v>
      </c>
      <c r="E251" s="5">
        <v>23.524999999999999</v>
      </c>
      <c r="F251" s="5">
        <v>25.131</v>
      </c>
      <c r="G251" s="28"/>
      <c r="H251" s="16">
        <f t="shared" si="36"/>
        <v>0</v>
      </c>
      <c r="I251" s="16">
        <f>((D251*0.015)*12)/7</f>
        <v>2.0031428571428576</v>
      </c>
      <c r="J251" s="16"/>
      <c r="K251" s="19">
        <f t="shared" si="33"/>
        <v>2.0031428571428576</v>
      </c>
      <c r="M251" s="13" t="s">
        <v>71</v>
      </c>
    </row>
    <row r="252" spans="1:13" x14ac:dyDescent="0.25">
      <c r="A252" s="1">
        <v>208</v>
      </c>
      <c r="B252" s="47">
        <v>45915</v>
      </c>
      <c r="C252" s="66">
        <v>43441412</v>
      </c>
      <c r="D252" s="109">
        <v>117.9</v>
      </c>
      <c r="E252" s="5">
        <v>44.79</v>
      </c>
      <c r="F252" s="5">
        <v>46.496000000000002</v>
      </c>
      <c r="G252" s="28">
        <f>F252-E252</f>
        <v>1.7060000000000031</v>
      </c>
      <c r="H252" s="16">
        <f>G252*0.8598</f>
        <v>1.4668188000000026</v>
      </c>
      <c r="I252" s="16"/>
      <c r="J252" s="16">
        <f>D252/($E$32-$E$33)*$J$31</f>
        <v>0.39024672944453292</v>
      </c>
      <c r="K252" s="19">
        <f>H252+I252+J252</f>
        <v>1.8570655294445355</v>
      </c>
      <c r="M252" s="13" t="s">
        <v>69</v>
      </c>
    </row>
    <row r="253" spans="1:13" x14ac:dyDescent="0.25">
      <c r="A253" s="1">
        <v>209</v>
      </c>
      <c r="B253" s="53"/>
      <c r="C253" s="66">
        <v>43441411</v>
      </c>
      <c r="D253" s="109">
        <v>58.2</v>
      </c>
      <c r="E253" s="5">
        <v>23.824999999999999</v>
      </c>
      <c r="F253" s="5">
        <v>25.44</v>
      </c>
      <c r="G253" s="28"/>
      <c r="H253" s="16">
        <f t="shared" si="36"/>
        <v>0</v>
      </c>
      <c r="I253" s="16">
        <f>((D253*0.015)*12)/7</f>
        <v>1.4965714285714284</v>
      </c>
      <c r="J253" s="16"/>
      <c r="K253" s="19">
        <f t="shared" si="33"/>
        <v>1.4965714285714284</v>
      </c>
      <c r="M253" s="13" t="s">
        <v>71</v>
      </c>
    </row>
    <row r="254" spans="1:13" x14ac:dyDescent="0.25">
      <c r="A254" s="1">
        <v>210</v>
      </c>
      <c r="B254" s="33"/>
      <c r="C254" s="66">
        <v>43441408</v>
      </c>
      <c r="D254" s="109">
        <v>58.6</v>
      </c>
      <c r="E254" s="5">
        <v>6.0659999999999998</v>
      </c>
      <c r="F254" s="5">
        <v>6.0659999999999998</v>
      </c>
      <c r="G254" s="28"/>
      <c r="H254" s="16">
        <f t="shared" si="36"/>
        <v>0</v>
      </c>
      <c r="I254" s="16">
        <f>((D254*0.015)*12)/7</f>
        <v>1.5068571428571429</v>
      </c>
      <c r="J254" s="16"/>
      <c r="K254" s="19">
        <f t="shared" si="33"/>
        <v>1.5068571428571429</v>
      </c>
      <c r="M254" s="13" t="s">
        <v>71</v>
      </c>
    </row>
    <row r="255" spans="1:13" x14ac:dyDescent="0.25">
      <c r="A255" s="1">
        <v>211</v>
      </c>
      <c r="B255" s="33"/>
      <c r="C255" s="66">
        <v>43441409</v>
      </c>
      <c r="D255" s="109">
        <v>46.7</v>
      </c>
      <c r="E255" s="5">
        <v>28.152000000000001</v>
      </c>
      <c r="F255" s="5">
        <v>29.265000000000001</v>
      </c>
      <c r="G255" s="28"/>
      <c r="H255" s="16">
        <f t="shared" si="36"/>
        <v>0</v>
      </c>
      <c r="I255" s="16">
        <f>((D255*0.015)*12)/7</f>
        <v>1.2008571428571428</v>
      </c>
      <c r="J255" s="16"/>
      <c r="K255" s="19">
        <f t="shared" si="33"/>
        <v>1.2008571428571428</v>
      </c>
      <c r="M255" s="13" t="s">
        <v>71</v>
      </c>
    </row>
    <row r="256" spans="1:13" x14ac:dyDescent="0.25">
      <c r="A256" s="1">
        <v>212</v>
      </c>
      <c r="B256" s="33"/>
      <c r="C256" s="66">
        <v>43441410</v>
      </c>
      <c r="D256" s="114">
        <v>78.599999999999994</v>
      </c>
      <c r="E256" s="5">
        <v>39.765999999999998</v>
      </c>
      <c r="F256" s="5">
        <v>41.359000000000002</v>
      </c>
      <c r="G256" s="5"/>
      <c r="H256" s="16">
        <f t="shared" si="36"/>
        <v>0</v>
      </c>
      <c r="I256" s="16">
        <f>((D256*0.015)*12)/7</f>
        <v>2.0211428571428569</v>
      </c>
      <c r="J256" s="16"/>
      <c r="K256" s="19">
        <f t="shared" si="33"/>
        <v>2.0211428571428569</v>
      </c>
      <c r="M256" s="13" t="s">
        <v>71</v>
      </c>
    </row>
    <row r="257" spans="1:13" x14ac:dyDescent="0.25">
      <c r="A257" s="1">
        <v>213</v>
      </c>
      <c r="B257" s="47">
        <v>45803</v>
      </c>
      <c r="C257" s="66">
        <v>43441403</v>
      </c>
      <c r="D257" s="114">
        <v>117.8</v>
      </c>
      <c r="E257" s="5">
        <v>45.807000000000002</v>
      </c>
      <c r="F257" s="5">
        <v>47.308999999999997</v>
      </c>
      <c r="G257" s="28">
        <f>F257-E257</f>
        <v>1.5019999999999953</v>
      </c>
      <c r="H257" s="16">
        <f t="shared" si="36"/>
        <v>1.291419599999996</v>
      </c>
      <c r="I257" s="19"/>
      <c r="J257" s="16">
        <f>D257/($E$32-$E$33)*$J$31</f>
        <v>0.3899157313703645</v>
      </c>
      <c r="K257" s="19">
        <f t="shared" si="33"/>
        <v>1.6813353313703605</v>
      </c>
      <c r="M257" s="13" t="s">
        <v>69</v>
      </c>
    </row>
    <row r="258" spans="1:13" x14ac:dyDescent="0.25">
      <c r="A258" s="1">
        <v>214</v>
      </c>
      <c r="B258" s="33"/>
      <c r="C258" s="66">
        <v>43441398</v>
      </c>
      <c r="D258" s="114">
        <v>57.8</v>
      </c>
      <c r="E258" s="5">
        <v>14.972</v>
      </c>
      <c r="F258" s="5">
        <v>15.759</v>
      </c>
      <c r="G258" s="5"/>
      <c r="H258" s="16">
        <f t="shared" si="36"/>
        <v>0</v>
      </c>
      <c r="I258" s="16">
        <f>((D258*0.015)*12)/7</f>
        <v>1.486285714285714</v>
      </c>
      <c r="J258" s="16"/>
      <c r="K258" s="19">
        <f t="shared" si="33"/>
        <v>1.486285714285714</v>
      </c>
      <c r="M258" s="13" t="s">
        <v>71</v>
      </c>
    </row>
    <row r="259" spans="1:13" x14ac:dyDescent="0.25">
      <c r="A259" s="1">
        <v>215</v>
      </c>
      <c r="B259" s="33"/>
      <c r="C259" s="66">
        <v>43441413</v>
      </c>
      <c r="D259" s="114">
        <v>58.8</v>
      </c>
      <c r="E259" s="5">
        <v>28.606999999999999</v>
      </c>
      <c r="F259" s="5">
        <v>28.908000000000001</v>
      </c>
      <c r="G259" s="5"/>
      <c r="H259" s="16">
        <f t="shared" si="36"/>
        <v>0</v>
      </c>
      <c r="I259" s="16">
        <f>((D259*0.015)*12)/7</f>
        <v>1.512</v>
      </c>
      <c r="J259" s="16"/>
      <c r="K259" s="19">
        <f t="shared" si="33"/>
        <v>1.512</v>
      </c>
      <c r="M259" s="13" t="s">
        <v>71</v>
      </c>
    </row>
    <row r="260" spans="1:13" x14ac:dyDescent="0.25">
      <c r="A260" s="1">
        <v>216</v>
      </c>
      <c r="B260" s="47">
        <v>45939</v>
      </c>
      <c r="C260" s="66">
        <v>43441401</v>
      </c>
      <c r="D260" s="114">
        <v>46.6</v>
      </c>
      <c r="E260" s="5">
        <v>38.841999999999999</v>
      </c>
      <c r="F260" s="5">
        <v>40.113999999999997</v>
      </c>
      <c r="G260" s="28">
        <f>F260-E260</f>
        <v>1.2719999999999985</v>
      </c>
      <c r="H260" s="16">
        <f t="shared" si="36"/>
        <v>1.0936655999999987</v>
      </c>
      <c r="I260" s="19"/>
      <c r="J260" s="16">
        <f>D260/($E$32-$E$33)*$J$31</f>
        <v>0.15424510256247015</v>
      </c>
      <c r="K260" s="19">
        <f t="shared" si="33"/>
        <v>1.2479107025624687</v>
      </c>
      <c r="M260" s="13" t="s">
        <v>69</v>
      </c>
    </row>
    <row r="261" spans="1:13" x14ac:dyDescent="0.25">
      <c r="A261" s="1">
        <v>217</v>
      </c>
      <c r="B261" s="33"/>
      <c r="C261" s="66">
        <v>43441404</v>
      </c>
      <c r="D261" s="114">
        <v>78.400000000000006</v>
      </c>
      <c r="E261" s="5">
        <v>35.520000000000003</v>
      </c>
      <c r="F261" s="5">
        <v>36.81</v>
      </c>
      <c r="G261" s="5"/>
      <c r="H261" s="16">
        <f t="shared" si="36"/>
        <v>0</v>
      </c>
      <c r="I261" s="16">
        <f>((D261*0.015)*12)/7</f>
        <v>2.0159999999999996</v>
      </c>
      <c r="J261" s="16"/>
      <c r="K261" s="19">
        <f t="shared" si="33"/>
        <v>2.0159999999999996</v>
      </c>
      <c r="M261" s="13" t="s">
        <v>71</v>
      </c>
    </row>
    <row r="262" spans="1:13" x14ac:dyDescent="0.25">
      <c r="A262" s="1">
        <v>218</v>
      </c>
      <c r="B262" s="47">
        <v>45896</v>
      </c>
      <c r="C262" s="66">
        <v>43441396</v>
      </c>
      <c r="D262" s="114">
        <v>118.2</v>
      </c>
      <c r="E262" s="5">
        <v>19.77</v>
      </c>
      <c r="F262" s="5">
        <v>19.77</v>
      </c>
      <c r="G262" s="5">
        <f>F262-E262</f>
        <v>0</v>
      </c>
      <c r="H262" s="16">
        <f t="shared" si="36"/>
        <v>0</v>
      </c>
      <c r="I262" s="16"/>
      <c r="J262" s="16">
        <f>D262/($E$32-$E$33)*$J$31</f>
        <v>0.39123972366703802</v>
      </c>
      <c r="K262" s="19">
        <f t="shared" si="33"/>
        <v>0.39123972366703802</v>
      </c>
      <c r="M262" s="13" t="s">
        <v>69</v>
      </c>
    </row>
    <row r="263" spans="1:13" x14ac:dyDescent="0.25">
      <c r="A263" s="1">
        <v>219</v>
      </c>
      <c r="B263" s="33"/>
      <c r="C263" s="66">
        <v>43441399</v>
      </c>
      <c r="D263" s="114">
        <v>58.3</v>
      </c>
      <c r="E263" s="5">
        <v>32.463999999999999</v>
      </c>
      <c r="F263" s="5">
        <v>33.399000000000001</v>
      </c>
      <c r="G263" s="5"/>
      <c r="H263" s="16">
        <f t="shared" si="36"/>
        <v>0</v>
      </c>
      <c r="I263" s="16">
        <f>((D263*0.015)*12)/7</f>
        <v>1.4991428571428571</v>
      </c>
      <c r="J263" s="16"/>
      <c r="K263" s="19">
        <f t="shared" si="33"/>
        <v>1.4991428571428571</v>
      </c>
      <c r="M263" s="13" t="s">
        <v>71</v>
      </c>
    </row>
    <row r="264" spans="1:13" x14ac:dyDescent="0.25">
      <c r="A264" s="1">
        <v>220</v>
      </c>
      <c r="B264" s="47">
        <v>45566</v>
      </c>
      <c r="C264" s="10" t="s">
        <v>95</v>
      </c>
      <c r="D264" s="114">
        <v>59.4</v>
      </c>
      <c r="E264" s="39">
        <v>0.51729999999999998</v>
      </c>
      <c r="F264" s="39">
        <v>0.84</v>
      </c>
      <c r="G264" s="5"/>
      <c r="H264" s="16">
        <f>F264-E264</f>
        <v>0.32269999999999999</v>
      </c>
      <c r="I264" s="16"/>
      <c r="J264" s="16">
        <f t="shared" ref="J264:J268" si="38">D264/($E$32-$E$33)*$J$31</f>
        <v>0.19661285605602419</v>
      </c>
      <c r="K264" s="19">
        <f t="shared" si="33"/>
        <v>0.51931285605602417</v>
      </c>
      <c r="M264" s="13" t="s">
        <v>69</v>
      </c>
    </row>
    <row r="265" spans="1:13" x14ac:dyDescent="0.25">
      <c r="A265" s="1">
        <v>221</v>
      </c>
      <c r="B265" s="47">
        <v>45727</v>
      </c>
      <c r="C265" s="71">
        <v>43441397</v>
      </c>
      <c r="D265" s="114">
        <v>46.9</v>
      </c>
      <c r="E265" s="5">
        <v>8.0419999999999998</v>
      </c>
      <c r="F265" s="5">
        <v>8.2100000000000009</v>
      </c>
      <c r="G265" s="5">
        <f>F265-E265</f>
        <v>0.16800000000000104</v>
      </c>
      <c r="H265" s="16">
        <f>G265*0.8598</f>
        <v>0.14444640000000089</v>
      </c>
      <c r="I265" s="16"/>
      <c r="J265" s="16">
        <f t="shared" si="38"/>
        <v>0.15523809678497533</v>
      </c>
      <c r="K265" s="19">
        <f t="shared" si="33"/>
        <v>0.29968449678497622</v>
      </c>
      <c r="M265" s="13" t="s">
        <v>69</v>
      </c>
    </row>
    <row r="266" spans="1:13" x14ac:dyDescent="0.25">
      <c r="A266" s="1">
        <v>222</v>
      </c>
      <c r="B266" s="47">
        <v>45570</v>
      </c>
      <c r="C266" s="71">
        <v>43441402</v>
      </c>
      <c r="D266" s="109">
        <v>77.7</v>
      </c>
      <c r="E266" s="5">
        <v>59.402000000000001</v>
      </c>
      <c r="F266" s="5">
        <v>61.430999999999997</v>
      </c>
      <c r="G266" s="5">
        <f>F266-E266</f>
        <v>2.0289999999999964</v>
      </c>
      <c r="H266" s="16">
        <f t="shared" ref="H266:H288" si="39">G266*0.8598</f>
        <v>1.7445341999999968</v>
      </c>
      <c r="I266" s="19"/>
      <c r="J266" s="16">
        <f t="shared" si="38"/>
        <v>0.25718550362883974</v>
      </c>
      <c r="K266" s="19">
        <f t="shared" si="33"/>
        <v>2.0017197036288366</v>
      </c>
      <c r="M266" s="13" t="s">
        <v>69</v>
      </c>
    </row>
    <row r="267" spans="1:13" x14ac:dyDescent="0.25">
      <c r="A267" s="1">
        <v>223</v>
      </c>
      <c r="B267" s="47">
        <v>45790</v>
      </c>
      <c r="C267" s="71">
        <v>43441209</v>
      </c>
      <c r="D267" s="109">
        <v>118.6</v>
      </c>
      <c r="E267" s="5">
        <v>79.174000000000007</v>
      </c>
      <c r="F267" s="5">
        <v>81.483000000000004</v>
      </c>
      <c r="G267" s="5">
        <f>F267-E267</f>
        <v>2.3089999999999975</v>
      </c>
      <c r="H267" s="16">
        <f t="shared" si="39"/>
        <v>1.9852781999999978</v>
      </c>
      <c r="I267" s="19"/>
      <c r="J267" s="16">
        <f t="shared" si="38"/>
        <v>0.39256371596371159</v>
      </c>
      <c r="K267" s="19">
        <f t="shared" si="33"/>
        <v>2.3778419159637094</v>
      </c>
      <c r="M267" s="13" t="s">
        <v>69</v>
      </c>
    </row>
    <row r="268" spans="1:13" x14ac:dyDescent="0.25">
      <c r="A268" s="1">
        <v>224</v>
      </c>
      <c r="B268" s="47">
        <v>45940</v>
      </c>
      <c r="C268" s="71">
        <v>43441210</v>
      </c>
      <c r="D268" s="109">
        <v>56.8</v>
      </c>
      <c r="E268" s="5">
        <v>11.497999999999999</v>
      </c>
      <c r="F268" s="5">
        <v>12.502000000000001</v>
      </c>
      <c r="G268" s="5">
        <f>F268-E268</f>
        <v>1.0040000000000013</v>
      </c>
      <c r="H268" s="16">
        <f t="shared" si="39"/>
        <v>0.86323920000000121</v>
      </c>
      <c r="I268" s="19"/>
      <c r="J268" s="16">
        <f t="shared" si="38"/>
        <v>0.18800690612764603</v>
      </c>
      <c r="K268" s="19">
        <f t="shared" si="33"/>
        <v>1.0512461061276472</v>
      </c>
      <c r="M268" s="13" t="s">
        <v>69</v>
      </c>
    </row>
    <row r="269" spans="1:13" x14ac:dyDescent="0.25">
      <c r="A269" s="1">
        <v>225</v>
      </c>
      <c r="B269" s="33"/>
      <c r="C269" s="71">
        <v>43441214</v>
      </c>
      <c r="D269" s="109">
        <v>58.9</v>
      </c>
      <c r="E269" s="5">
        <v>37.207999999999998</v>
      </c>
      <c r="F269" s="5">
        <v>38.713999999999999</v>
      </c>
      <c r="G269" s="5"/>
      <c r="H269" s="16">
        <f t="shared" si="39"/>
        <v>0</v>
      </c>
      <c r="I269" s="16">
        <f t="shared" ref="I269:I275" si="40">((D269*0.015)*12)/7</f>
        <v>1.5145714285714287</v>
      </c>
      <c r="J269" s="16"/>
      <c r="K269" s="19">
        <f t="shared" si="33"/>
        <v>1.5145714285714287</v>
      </c>
      <c r="M269" s="13" t="s">
        <v>71</v>
      </c>
    </row>
    <row r="270" spans="1:13" x14ac:dyDescent="0.25">
      <c r="A270" s="1">
        <v>226</v>
      </c>
      <c r="B270" s="33"/>
      <c r="C270" s="71">
        <v>43441215</v>
      </c>
      <c r="D270" s="109">
        <v>46.8</v>
      </c>
      <c r="E270" s="5">
        <v>22.802</v>
      </c>
      <c r="F270" s="5">
        <v>24.05</v>
      </c>
      <c r="G270" s="5"/>
      <c r="H270" s="16">
        <f t="shared" si="39"/>
        <v>0</v>
      </c>
      <c r="I270" s="16">
        <f t="shared" si="40"/>
        <v>1.2034285714285713</v>
      </c>
      <c r="J270" s="16"/>
      <c r="K270" s="19">
        <f t="shared" si="33"/>
        <v>1.2034285714285713</v>
      </c>
      <c r="M270" s="13" t="s">
        <v>71</v>
      </c>
    </row>
    <row r="271" spans="1:13" x14ac:dyDescent="0.25">
      <c r="A271" s="1">
        <v>227</v>
      </c>
      <c r="B271" s="47">
        <v>45927</v>
      </c>
      <c r="C271" s="71" t="s">
        <v>105</v>
      </c>
      <c r="D271" s="109">
        <v>78.2</v>
      </c>
      <c r="E271" s="5">
        <v>0.79700000000000004</v>
      </c>
      <c r="F271" s="5">
        <v>2.0129999999999999</v>
      </c>
      <c r="G271" s="5"/>
      <c r="H271" s="16">
        <f>F271-E271</f>
        <v>1.2159999999999997</v>
      </c>
      <c r="I271" s="16"/>
      <c r="J271" s="16">
        <f>D271/($E$32-$E$33)*$J$31</f>
        <v>0.25884049399968168</v>
      </c>
      <c r="K271" s="19">
        <f t="shared" si="33"/>
        <v>1.4748404939996815</v>
      </c>
      <c r="M271" s="13" t="s">
        <v>69</v>
      </c>
    </row>
    <row r="272" spans="1:13" x14ac:dyDescent="0.25">
      <c r="A272" s="1">
        <v>228</v>
      </c>
      <c r="B272" s="33"/>
      <c r="C272" s="71">
        <v>43441212</v>
      </c>
      <c r="D272" s="109">
        <v>117.5</v>
      </c>
      <c r="E272" s="5">
        <v>39.338000000000001</v>
      </c>
      <c r="F272" s="5">
        <v>39.338000000000001</v>
      </c>
      <c r="G272" s="5"/>
      <c r="H272" s="16">
        <f t="shared" si="39"/>
        <v>0</v>
      </c>
      <c r="I272" s="16">
        <f t="shared" si="40"/>
        <v>3.0214285714285714</v>
      </c>
      <c r="J272" s="16"/>
      <c r="K272" s="19">
        <f>H272+I272+J272</f>
        <v>3.0214285714285714</v>
      </c>
      <c r="M272" s="13" t="s">
        <v>71</v>
      </c>
    </row>
    <row r="273" spans="1:13" x14ac:dyDescent="0.25">
      <c r="A273" s="1">
        <v>229</v>
      </c>
      <c r="B273" s="33"/>
      <c r="C273" s="71">
        <v>43441218</v>
      </c>
      <c r="D273" s="109">
        <v>57.8</v>
      </c>
      <c r="E273" s="5">
        <v>21.702000000000002</v>
      </c>
      <c r="F273" s="5">
        <v>21.702000000000002</v>
      </c>
      <c r="G273" s="5"/>
      <c r="H273" s="16">
        <f t="shared" si="39"/>
        <v>0</v>
      </c>
      <c r="I273" s="16">
        <f t="shared" si="40"/>
        <v>1.486285714285714</v>
      </c>
      <c r="J273" s="16"/>
      <c r="K273" s="19">
        <f>H273+I273+J273</f>
        <v>1.486285714285714</v>
      </c>
      <c r="M273" s="13" t="s">
        <v>71</v>
      </c>
    </row>
    <row r="274" spans="1:13" x14ac:dyDescent="0.25">
      <c r="A274" s="1">
        <v>230</v>
      </c>
      <c r="B274" s="47">
        <v>45914</v>
      </c>
      <c r="C274" s="71">
        <v>43441227</v>
      </c>
      <c r="D274" s="114">
        <v>58.4</v>
      </c>
      <c r="E274" s="5">
        <v>20.062000000000001</v>
      </c>
      <c r="F274" s="5">
        <v>22.047999999999998</v>
      </c>
      <c r="G274" s="5">
        <f>F274-E274</f>
        <v>1.9859999999999971</v>
      </c>
      <c r="H274" s="16">
        <f t="shared" si="39"/>
        <v>1.7075627999999976</v>
      </c>
      <c r="I274" s="19"/>
      <c r="J274" s="16">
        <f>D274/($E$32-$E$33)*$J$31</f>
        <v>0.19330287531434029</v>
      </c>
      <c r="K274" s="19">
        <f t="shared" si="33"/>
        <v>1.9008656753143378</v>
      </c>
      <c r="M274" s="13" t="s">
        <v>69</v>
      </c>
    </row>
    <row r="275" spans="1:13" x14ac:dyDescent="0.25">
      <c r="A275" s="1">
        <v>231</v>
      </c>
      <c r="B275" s="33"/>
      <c r="C275" s="71">
        <v>43441216</v>
      </c>
      <c r="D275" s="114">
        <v>47</v>
      </c>
      <c r="E275" s="5">
        <v>12.56</v>
      </c>
      <c r="F275" s="5">
        <v>13.318</v>
      </c>
      <c r="G275" s="5"/>
      <c r="H275" s="16">
        <f t="shared" si="39"/>
        <v>0</v>
      </c>
      <c r="I275" s="16">
        <f t="shared" si="40"/>
        <v>1.2085714285714284</v>
      </c>
      <c r="J275" s="16"/>
      <c r="K275" s="19">
        <f t="shared" si="33"/>
        <v>1.2085714285714284</v>
      </c>
      <c r="M275" s="13" t="s">
        <v>71</v>
      </c>
    </row>
    <row r="276" spans="1:13" x14ac:dyDescent="0.25">
      <c r="A276" s="1">
        <v>232</v>
      </c>
      <c r="B276" s="47">
        <v>45738</v>
      </c>
      <c r="C276" s="10" t="s">
        <v>104</v>
      </c>
      <c r="D276" s="114">
        <v>78</v>
      </c>
      <c r="E276" s="39">
        <v>0.96089999999999998</v>
      </c>
      <c r="F276" s="39">
        <v>1.587</v>
      </c>
      <c r="G276" s="5"/>
      <c r="H276" s="16">
        <f>F276-E276</f>
        <v>0.62609999999999999</v>
      </c>
      <c r="I276" s="19"/>
      <c r="J276" s="16">
        <f t="shared" ref="J276:J277" si="41">D276/($E$32-$E$33)*$J$31</f>
        <v>0.25817849785134489</v>
      </c>
      <c r="K276" s="19">
        <f t="shared" si="33"/>
        <v>0.88427849785134494</v>
      </c>
      <c r="M276" s="13" t="s">
        <v>69</v>
      </c>
    </row>
    <row r="277" spans="1:13" x14ac:dyDescent="0.25">
      <c r="A277" s="1">
        <v>233</v>
      </c>
      <c r="B277" s="47">
        <v>45790</v>
      </c>
      <c r="C277" s="71">
        <v>43441226</v>
      </c>
      <c r="D277" s="114">
        <v>117.7</v>
      </c>
      <c r="E277" s="5">
        <v>12.683</v>
      </c>
      <c r="F277" s="5">
        <v>15.243</v>
      </c>
      <c r="G277" s="5">
        <f>F277-E277</f>
        <v>2.5600000000000005</v>
      </c>
      <c r="H277" s="16">
        <f>G277*0.8598</f>
        <v>2.2010880000000004</v>
      </c>
      <c r="I277" s="16"/>
      <c r="J277" s="16">
        <f t="shared" si="41"/>
        <v>0.38958473329619608</v>
      </c>
      <c r="K277" s="19">
        <f t="shared" si="33"/>
        <v>2.5906727332961963</v>
      </c>
      <c r="M277" s="13" t="s">
        <v>69</v>
      </c>
    </row>
    <row r="278" spans="1:13" x14ac:dyDescent="0.25">
      <c r="A278" s="1">
        <v>234</v>
      </c>
      <c r="B278" s="33"/>
      <c r="C278" s="71">
        <v>43441225</v>
      </c>
      <c r="D278" s="114">
        <v>57.8</v>
      </c>
      <c r="E278" s="5">
        <v>22.472999999999999</v>
      </c>
      <c r="F278" s="5">
        <v>23.347000000000001</v>
      </c>
      <c r="G278" s="5"/>
      <c r="H278" s="16">
        <f t="shared" si="39"/>
        <v>0</v>
      </c>
      <c r="I278" s="16">
        <f>((D278*0.015)*12)/7</f>
        <v>1.486285714285714</v>
      </c>
      <c r="J278" s="16"/>
      <c r="K278" s="19">
        <f t="shared" si="33"/>
        <v>1.486285714285714</v>
      </c>
      <c r="M278" s="13" t="s">
        <v>71</v>
      </c>
    </row>
    <row r="279" spans="1:13" x14ac:dyDescent="0.25">
      <c r="A279" s="1">
        <v>235</v>
      </c>
      <c r="B279" s="47">
        <v>45748</v>
      </c>
      <c r="C279" s="71">
        <v>43441222</v>
      </c>
      <c r="D279" s="114">
        <v>58.3</v>
      </c>
      <c r="E279" s="5">
        <v>4.5890000000000004</v>
      </c>
      <c r="F279" s="5">
        <v>5.0339999999999998</v>
      </c>
      <c r="G279" s="5">
        <f>F279-E279</f>
        <v>0.4449999999999994</v>
      </c>
      <c r="H279" s="16">
        <f t="shared" si="39"/>
        <v>0.38261099999999948</v>
      </c>
      <c r="I279" s="16"/>
      <c r="J279" s="16">
        <f>D279/($E$32-$E$33)*$J$31</f>
        <v>0.1929718772401719</v>
      </c>
      <c r="K279" s="19">
        <f t="shared" si="33"/>
        <v>0.57558287724017143</v>
      </c>
      <c r="M279" s="13" t="s">
        <v>69</v>
      </c>
    </row>
    <row r="280" spans="1:13" x14ac:dyDescent="0.25">
      <c r="A280" s="1">
        <v>236</v>
      </c>
      <c r="B280" s="33"/>
      <c r="C280" s="71">
        <v>43441223</v>
      </c>
      <c r="D280" s="114">
        <v>47</v>
      </c>
      <c r="E280" s="5">
        <v>28.978999999999999</v>
      </c>
      <c r="F280" s="5">
        <v>28.978999999999999</v>
      </c>
      <c r="G280" s="5"/>
      <c r="H280" s="16">
        <f t="shared" si="39"/>
        <v>0</v>
      </c>
      <c r="I280" s="16">
        <f>((D280*0.015)*12)/7</f>
        <v>1.2085714285714284</v>
      </c>
      <c r="J280" s="16"/>
      <c r="K280" s="19">
        <f t="shared" si="33"/>
        <v>1.2085714285714284</v>
      </c>
      <c r="M280" s="13" t="s">
        <v>71</v>
      </c>
    </row>
    <row r="281" spans="1:13" x14ac:dyDescent="0.25">
      <c r="A281" s="1">
        <v>237</v>
      </c>
      <c r="B281" s="47">
        <v>45703</v>
      </c>
      <c r="C281" s="71">
        <v>43441224</v>
      </c>
      <c r="D281" s="114">
        <v>77</v>
      </c>
      <c r="E281" s="5">
        <v>48.936999999999998</v>
      </c>
      <c r="F281" s="5">
        <v>50.536000000000001</v>
      </c>
      <c r="G281" s="5">
        <f>F281-E281</f>
        <v>1.5990000000000038</v>
      </c>
      <c r="H281" s="16">
        <f t="shared" si="39"/>
        <v>1.3748202000000032</v>
      </c>
      <c r="I281" s="19"/>
      <c r="J281" s="16">
        <f t="shared" ref="J281:J283" si="42">D281/($E$32-$E$33)*$J$31</f>
        <v>0.25486851710966102</v>
      </c>
      <c r="K281" s="19">
        <f t="shared" si="33"/>
        <v>1.6296887171096641</v>
      </c>
      <c r="M281" s="13" t="s">
        <v>69</v>
      </c>
    </row>
    <row r="282" spans="1:13" x14ac:dyDescent="0.25">
      <c r="A282" s="1">
        <v>238</v>
      </c>
      <c r="B282" s="33"/>
      <c r="C282" s="71" t="s">
        <v>115</v>
      </c>
      <c r="D282" s="114">
        <v>117.8</v>
      </c>
      <c r="E282" s="39">
        <v>0.90700000000000003</v>
      </c>
      <c r="F282" s="39">
        <v>1.9430000000000001</v>
      </c>
      <c r="G282" s="5"/>
      <c r="H282" s="16">
        <f>F282-E282</f>
        <v>1.036</v>
      </c>
      <c r="I282" s="16"/>
      <c r="J282" s="16">
        <f t="shared" si="42"/>
        <v>0.3899157313703645</v>
      </c>
      <c r="K282" s="19">
        <f t="shared" si="33"/>
        <v>1.4259157313703645</v>
      </c>
      <c r="M282" s="13" t="s">
        <v>69</v>
      </c>
    </row>
    <row r="283" spans="1:13" x14ac:dyDescent="0.25">
      <c r="A283" s="1">
        <v>239</v>
      </c>
      <c r="B283" s="48">
        <v>45871</v>
      </c>
      <c r="C283" s="71">
        <v>43441220</v>
      </c>
      <c r="D283" s="114">
        <v>58.1</v>
      </c>
      <c r="E283" s="5">
        <v>34.124000000000002</v>
      </c>
      <c r="F283" s="5">
        <v>34.835000000000001</v>
      </c>
      <c r="G283" s="5">
        <f>F283-E283</f>
        <v>0.71099999999999852</v>
      </c>
      <c r="H283" s="16">
        <f>G283*0.8598</f>
        <v>0.61131779999999869</v>
      </c>
      <c r="I283" s="19"/>
      <c r="J283" s="16">
        <f t="shared" si="42"/>
        <v>0.19230988109183511</v>
      </c>
      <c r="K283" s="19">
        <f t="shared" si="33"/>
        <v>0.8036276810918338</v>
      </c>
      <c r="M283" s="13" t="s">
        <v>69</v>
      </c>
    </row>
    <row r="284" spans="1:13" x14ac:dyDescent="0.25">
      <c r="A284" s="1">
        <v>240</v>
      </c>
      <c r="B284" s="33"/>
      <c r="C284" s="71">
        <v>20242417</v>
      </c>
      <c r="D284" s="114">
        <v>58.7</v>
      </c>
      <c r="E284" s="5">
        <v>29.937000000000001</v>
      </c>
      <c r="F284" s="5">
        <v>30.85</v>
      </c>
      <c r="G284" s="5"/>
      <c r="H284" s="16">
        <f t="shared" si="39"/>
        <v>0</v>
      </c>
      <c r="I284" s="16">
        <f>((D284*0.015)*12)/7</f>
        <v>1.5094285714285716</v>
      </c>
      <c r="J284" s="16"/>
      <c r="K284" s="19">
        <f t="shared" si="33"/>
        <v>1.5094285714285716</v>
      </c>
      <c r="M284" s="13" t="s">
        <v>71</v>
      </c>
    </row>
    <row r="285" spans="1:13" x14ac:dyDescent="0.25">
      <c r="A285" s="1">
        <v>241</v>
      </c>
      <c r="B285" s="33"/>
      <c r="C285" s="71">
        <v>20242445</v>
      </c>
      <c r="D285" s="114">
        <v>46.5</v>
      </c>
      <c r="E285" s="5">
        <v>21.393999999999998</v>
      </c>
      <c r="F285" s="5">
        <v>23.056999999999999</v>
      </c>
      <c r="G285" s="5"/>
      <c r="H285" s="16">
        <f t="shared" si="39"/>
        <v>0</v>
      </c>
      <c r="I285" s="16">
        <f>((D285*0.015)*12)/7</f>
        <v>1.195714285714286</v>
      </c>
      <c r="J285" s="16"/>
      <c r="K285" s="19">
        <f t="shared" si="33"/>
        <v>1.195714285714286</v>
      </c>
      <c r="M285" s="13" t="s">
        <v>71</v>
      </c>
    </row>
    <row r="286" spans="1:13" x14ac:dyDescent="0.25">
      <c r="A286" s="1">
        <v>242</v>
      </c>
      <c r="B286" s="33"/>
      <c r="C286" s="71">
        <v>43441219</v>
      </c>
      <c r="D286" s="114">
        <v>78.3</v>
      </c>
      <c r="E286" s="5">
        <v>59.122</v>
      </c>
      <c r="F286" s="5">
        <v>62.030999999999999</v>
      </c>
      <c r="G286" s="5"/>
      <c r="H286" s="16">
        <f t="shared" si="39"/>
        <v>0</v>
      </c>
      <c r="I286" s="16">
        <f>((D286*0.015)*12)/7</f>
        <v>2.0134285714285709</v>
      </c>
      <c r="J286" s="16"/>
      <c r="K286" s="19">
        <f t="shared" si="33"/>
        <v>2.0134285714285709</v>
      </c>
      <c r="M286" s="13" t="s">
        <v>71</v>
      </c>
    </row>
    <row r="287" spans="1:13" x14ac:dyDescent="0.25">
      <c r="A287" s="1">
        <v>243</v>
      </c>
      <c r="B287" s="33"/>
      <c r="C287" s="71">
        <v>20242421</v>
      </c>
      <c r="D287" s="114">
        <v>117.2</v>
      </c>
      <c r="E287" s="5">
        <v>48.055</v>
      </c>
      <c r="F287" s="5">
        <v>51.231999999999999</v>
      </c>
      <c r="G287" s="5"/>
      <c r="H287" s="16">
        <f t="shared" si="39"/>
        <v>0</v>
      </c>
      <c r="I287" s="16">
        <f>((D287*0.015)*12)/7</f>
        <v>3.0137142857142858</v>
      </c>
      <c r="J287" s="16"/>
      <c r="K287" s="19">
        <f t="shared" si="33"/>
        <v>3.0137142857142858</v>
      </c>
      <c r="M287" s="13" t="s">
        <v>71</v>
      </c>
    </row>
    <row r="288" spans="1:13" x14ac:dyDescent="0.25">
      <c r="A288" s="1">
        <v>244</v>
      </c>
      <c r="B288" s="47">
        <v>45803</v>
      </c>
      <c r="C288" s="71">
        <v>20242431</v>
      </c>
      <c r="D288" s="114">
        <v>57.8</v>
      </c>
      <c r="E288" s="5">
        <v>9.5920000000000005</v>
      </c>
      <c r="F288" s="5">
        <v>10.571</v>
      </c>
      <c r="G288" s="5">
        <f>F288-E288</f>
        <v>0.9789999999999992</v>
      </c>
      <c r="H288" s="16">
        <f t="shared" si="39"/>
        <v>0.84174419999999928</v>
      </c>
      <c r="I288" s="19"/>
      <c r="J288" s="16">
        <f t="shared" ref="J288:J289" si="43">D288/($E$32-$E$33)*$J$31</f>
        <v>0.19131688686932993</v>
      </c>
      <c r="K288" s="19">
        <f t="shared" si="33"/>
        <v>1.0330610868693293</v>
      </c>
      <c r="M288" s="13" t="s">
        <v>69</v>
      </c>
    </row>
    <row r="289" spans="1:13" x14ac:dyDescent="0.25">
      <c r="A289" s="1">
        <v>245</v>
      </c>
      <c r="B289" s="47">
        <v>45887</v>
      </c>
      <c r="C289" s="71">
        <v>20242432</v>
      </c>
      <c r="D289" s="114">
        <v>58.2</v>
      </c>
      <c r="E289" s="5">
        <v>11.353</v>
      </c>
      <c r="F289" s="5">
        <v>11.615</v>
      </c>
      <c r="G289" s="5">
        <f>F289-E289</f>
        <v>0.26200000000000045</v>
      </c>
      <c r="H289" s="16">
        <f>G289*0.8598</f>
        <v>0.2252676000000004</v>
      </c>
      <c r="I289" s="19"/>
      <c r="J289" s="16">
        <f t="shared" si="43"/>
        <v>0.1926408791660035</v>
      </c>
      <c r="K289" s="19">
        <f t="shared" si="33"/>
        <v>0.41790847916600393</v>
      </c>
      <c r="M289" s="13" t="s">
        <v>69</v>
      </c>
    </row>
    <row r="290" spans="1:13" x14ac:dyDescent="0.25">
      <c r="A290" s="1">
        <v>246</v>
      </c>
      <c r="B290" s="33"/>
      <c r="C290" s="71">
        <v>20242451</v>
      </c>
      <c r="D290" s="114">
        <v>45.8</v>
      </c>
      <c r="E290" s="5">
        <v>21.582000000000001</v>
      </c>
      <c r="F290" s="5">
        <v>22.591999999999999</v>
      </c>
      <c r="G290" s="5"/>
      <c r="H290" s="16">
        <f>G290*0.8598</f>
        <v>0</v>
      </c>
      <c r="I290" s="16">
        <f>((D290*0.015)*12)/7</f>
        <v>1.1777142857142857</v>
      </c>
      <c r="J290" s="16"/>
      <c r="K290" s="19">
        <f t="shared" si="33"/>
        <v>1.1777142857142857</v>
      </c>
      <c r="M290" s="13" t="s">
        <v>71</v>
      </c>
    </row>
    <row r="291" spans="1:13" ht="15.75" thickBot="1" x14ac:dyDescent="0.3">
      <c r="A291" s="42">
        <v>247</v>
      </c>
      <c r="B291" s="47">
        <v>45887</v>
      </c>
      <c r="C291" s="72">
        <v>20242442</v>
      </c>
      <c r="D291" s="115">
        <v>77.599999999999994</v>
      </c>
      <c r="E291" s="27">
        <v>32.829000000000001</v>
      </c>
      <c r="F291" s="27">
        <v>33.655999999999999</v>
      </c>
      <c r="G291" s="5">
        <f>F291-E291</f>
        <v>0.82699999999999818</v>
      </c>
      <c r="H291" s="95">
        <f>G291*0.8598</f>
        <v>0.71105459999999843</v>
      </c>
      <c r="I291" s="96"/>
      <c r="J291" s="16">
        <f>D291/($E$32-$E$33)*$J$31</f>
        <v>0.25685450555467132</v>
      </c>
      <c r="K291" s="19">
        <f t="shared" si="33"/>
        <v>0.9679091055546698</v>
      </c>
      <c r="M291" s="13" t="s">
        <v>69</v>
      </c>
    </row>
    <row r="292" spans="1:13" ht="15.75" thickBot="1" x14ac:dyDescent="0.3">
      <c r="A292" s="219" t="s">
        <v>81</v>
      </c>
      <c r="B292" s="220"/>
      <c r="C292" s="220"/>
      <c r="D292" s="92">
        <f>SUM(D227:D291)</f>
        <v>4660.1000000000022</v>
      </c>
      <c r="E292" s="221" t="s">
        <v>82</v>
      </c>
      <c r="F292" s="221"/>
      <c r="G292" s="221"/>
      <c r="H292" s="64">
        <f>SUM(H227:H291)</f>
        <v>31.48235639999999</v>
      </c>
      <c r="I292" s="64">
        <f>SUM(I227:I291)</f>
        <v>55.20600000000001</v>
      </c>
      <c r="J292" s="64">
        <f>SUM(J227:J291)</f>
        <v>8.3186435999999997</v>
      </c>
      <c r="K292" s="93">
        <f>SUM(K227:K291)</f>
        <v>95.007000000000005</v>
      </c>
      <c r="M292" s="13"/>
    </row>
    <row r="293" spans="1:13" x14ac:dyDescent="0.25">
      <c r="A293" s="222" t="s">
        <v>3</v>
      </c>
      <c r="B293" s="222"/>
      <c r="C293" s="222"/>
      <c r="D293" s="97">
        <f>SUM(D116,D173,D226,D292)</f>
        <v>17590.400000000005</v>
      </c>
      <c r="E293" s="65">
        <f>SUM(E42:E291)</f>
        <v>6656.9572999999964</v>
      </c>
      <c r="F293" s="65">
        <f>SUM(F42:F291)</f>
        <v>6958.8014000000012</v>
      </c>
      <c r="G293" s="6">
        <f>F293-E293</f>
        <v>301.8441000000048</v>
      </c>
      <c r="H293" s="65">
        <f>SUM(H116,H173,H226,H292)</f>
        <v>129.60429800000003</v>
      </c>
      <c r="I293" s="65">
        <f>SUM(I116,I173,I226,I292)</f>
        <v>164.35542857142858</v>
      </c>
      <c r="J293" s="65">
        <f>SUM(J116,J173,J226,J292)</f>
        <v>68.174273428571354</v>
      </c>
      <c r="K293" s="65">
        <f>SUM(K116,K173,K226,K292)</f>
        <v>362.13399999999996</v>
      </c>
      <c r="L293" s="20"/>
      <c r="M293" s="21"/>
    </row>
    <row r="294" spans="1:13" x14ac:dyDescent="0.25">
      <c r="H294" s="98"/>
      <c r="I294" s="98"/>
      <c r="L294" s="62"/>
      <c r="M294" s="12"/>
    </row>
    <row r="295" spans="1:13" x14ac:dyDescent="0.25">
      <c r="J295" s="2"/>
      <c r="K295" s="2"/>
      <c r="M295" s="62"/>
    </row>
    <row r="296" spans="1:13" ht="18.75" customHeight="1" x14ac:dyDescent="0.25">
      <c r="A296" s="207" t="s">
        <v>34</v>
      </c>
      <c r="B296" s="40" t="s">
        <v>61</v>
      </c>
      <c r="C296" s="209" t="s">
        <v>35</v>
      </c>
      <c r="D296" s="211" t="s">
        <v>2</v>
      </c>
      <c r="E296" s="17" t="s">
        <v>116</v>
      </c>
      <c r="F296" s="17" t="s">
        <v>121</v>
      </c>
      <c r="G296" s="99" t="s">
        <v>53</v>
      </c>
      <c r="H296" s="4"/>
      <c r="I296" s="4"/>
      <c r="J296" s="2"/>
      <c r="K296" s="2"/>
    </row>
    <row r="297" spans="1:13" ht="18.75" customHeight="1" x14ac:dyDescent="0.25">
      <c r="A297" s="208"/>
      <c r="B297" s="100" t="s">
        <v>62</v>
      </c>
      <c r="C297" s="210"/>
      <c r="D297" s="212"/>
      <c r="E297" s="25" t="s">
        <v>36</v>
      </c>
      <c r="F297" s="25" t="s">
        <v>36</v>
      </c>
      <c r="G297" s="32" t="s">
        <v>54</v>
      </c>
      <c r="J297" s="2"/>
      <c r="K297" s="2"/>
    </row>
    <row r="298" spans="1:13" x14ac:dyDescent="0.25">
      <c r="A298" s="101" t="s">
        <v>37</v>
      </c>
      <c r="B298" s="102">
        <v>43296</v>
      </c>
      <c r="C298" s="26">
        <v>43441481</v>
      </c>
      <c r="D298" s="26">
        <v>122.9</v>
      </c>
      <c r="E298" s="22">
        <v>57.421999999999997</v>
      </c>
      <c r="F298" s="22">
        <v>59.591999999999999</v>
      </c>
      <c r="G298" s="22">
        <f>(F298-E298)*0.8598</f>
        <v>1.8657660000000016</v>
      </c>
      <c r="J298" s="2"/>
      <c r="K298" s="2"/>
    </row>
    <row r="299" spans="1:13" x14ac:dyDescent="0.25">
      <c r="A299" s="101" t="s">
        <v>38</v>
      </c>
      <c r="B299" s="102">
        <v>43296</v>
      </c>
      <c r="C299" s="26">
        <v>43441178</v>
      </c>
      <c r="D299" s="26">
        <v>68.5</v>
      </c>
      <c r="E299" s="22">
        <v>98.31</v>
      </c>
      <c r="F299" s="22">
        <v>102.407</v>
      </c>
      <c r="G299" s="22">
        <f t="shared" ref="G299:G312" si="44">(F299-E299)*0.8598</f>
        <v>3.5226005999999952</v>
      </c>
      <c r="J299" s="2"/>
      <c r="K299" s="2"/>
    </row>
    <row r="300" spans="1:13" x14ac:dyDescent="0.25">
      <c r="A300" s="101" t="s">
        <v>39</v>
      </c>
      <c r="B300" s="102">
        <v>43296</v>
      </c>
      <c r="C300" s="26">
        <v>43441179</v>
      </c>
      <c r="D300" s="26">
        <v>106.9</v>
      </c>
      <c r="E300" s="22">
        <v>33.484000000000002</v>
      </c>
      <c r="F300" s="22">
        <v>34.414000000000001</v>
      </c>
      <c r="G300" s="22">
        <f t="shared" si="44"/>
        <v>0.79961399999999971</v>
      </c>
      <c r="J300" s="2"/>
      <c r="K300" s="2"/>
    </row>
    <row r="301" spans="1:13" x14ac:dyDescent="0.25">
      <c r="A301" s="101" t="s">
        <v>40</v>
      </c>
      <c r="B301" s="102">
        <v>43296</v>
      </c>
      <c r="C301" s="26">
        <v>43441177</v>
      </c>
      <c r="D301" s="26">
        <v>163.80000000000001</v>
      </c>
      <c r="E301" s="22">
        <v>166.55799999999999</v>
      </c>
      <c r="F301" s="22">
        <v>174.3</v>
      </c>
      <c r="G301" s="22">
        <f t="shared" si="44"/>
        <v>6.6565716000000164</v>
      </c>
      <c r="J301" s="2"/>
      <c r="K301" s="2"/>
    </row>
    <row r="302" spans="1:13" x14ac:dyDescent="0.25">
      <c r="A302" s="101" t="s">
        <v>41</v>
      </c>
      <c r="B302" s="102">
        <v>43296</v>
      </c>
      <c r="C302" s="26">
        <v>43441482</v>
      </c>
      <c r="D302" s="26">
        <v>109.8</v>
      </c>
      <c r="E302" s="22">
        <v>138.989</v>
      </c>
      <c r="F302" s="22">
        <v>142.79499999999999</v>
      </c>
      <c r="G302" s="22">
        <f t="shared" si="44"/>
        <v>3.2723987999999857</v>
      </c>
      <c r="K302" s="2"/>
    </row>
    <row r="303" spans="1:13" x14ac:dyDescent="0.25">
      <c r="A303" s="101" t="s">
        <v>42</v>
      </c>
      <c r="B303" s="102">
        <v>43296</v>
      </c>
      <c r="C303" s="26">
        <v>43441483</v>
      </c>
      <c r="D303" s="26">
        <v>58.7</v>
      </c>
      <c r="E303" s="22">
        <v>180.06</v>
      </c>
      <c r="F303" s="22">
        <v>184.54499999999999</v>
      </c>
      <c r="G303" s="22">
        <f t="shared" si="44"/>
        <v>3.8562029999999874</v>
      </c>
      <c r="J303" s="2"/>
      <c r="K303" s="2"/>
    </row>
    <row r="304" spans="1:13" x14ac:dyDescent="0.25">
      <c r="A304" s="101" t="s">
        <v>43</v>
      </c>
      <c r="B304" s="102">
        <v>43296</v>
      </c>
      <c r="C304" s="26">
        <v>41444210</v>
      </c>
      <c r="D304" s="26">
        <v>89.1</v>
      </c>
      <c r="E304" s="22">
        <v>154.006</v>
      </c>
      <c r="F304" s="22">
        <v>159.125</v>
      </c>
      <c r="G304" s="22">
        <f t="shared" si="44"/>
        <v>4.4013162000000001</v>
      </c>
      <c r="J304" s="2"/>
      <c r="K304" s="2"/>
    </row>
    <row r="305" spans="1:13" x14ac:dyDescent="0.25">
      <c r="A305" s="101" t="s">
        <v>44</v>
      </c>
      <c r="B305" s="102">
        <v>43296</v>
      </c>
      <c r="C305" s="26">
        <v>20242453</v>
      </c>
      <c r="D305" s="26">
        <v>56.5</v>
      </c>
      <c r="E305" s="22">
        <v>161.857</v>
      </c>
      <c r="F305" s="22">
        <v>167.53</v>
      </c>
      <c r="G305" s="22">
        <f t="shared" si="44"/>
        <v>4.8776454000000014</v>
      </c>
      <c r="J305" s="2"/>
      <c r="K305" s="2"/>
    </row>
    <row r="306" spans="1:13" x14ac:dyDescent="0.25">
      <c r="A306" s="101" t="s">
        <v>45</v>
      </c>
      <c r="B306" s="102">
        <v>43296</v>
      </c>
      <c r="C306" s="26">
        <v>20242426</v>
      </c>
      <c r="D306" s="26">
        <v>96</v>
      </c>
      <c r="E306" s="22">
        <v>119.542</v>
      </c>
      <c r="F306" s="22">
        <v>124.85</v>
      </c>
      <c r="G306" s="22">
        <f t="shared" si="44"/>
        <v>4.5638183999999935</v>
      </c>
      <c r="J306" s="2"/>
      <c r="K306" s="2"/>
    </row>
    <row r="307" spans="1:13" x14ac:dyDescent="0.25">
      <c r="A307" s="101" t="s">
        <v>46</v>
      </c>
      <c r="B307" s="102">
        <v>43296</v>
      </c>
      <c r="C307" s="26">
        <v>20242457</v>
      </c>
      <c r="D307" s="26">
        <v>103.3</v>
      </c>
      <c r="E307" s="22">
        <v>121.208</v>
      </c>
      <c r="F307" s="22">
        <v>125.508</v>
      </c>
      <c r="G307" s="22">
        <f t="shared" si="44"/>
        <v>3.6971399999999974</v>
      </c>
      <c r="J307" s="2"/>
      <c r="K307" s="2"/>
    </row>
    <row r="308" spans="1:13" x14ac:dyDescent="0.25">
      <c r="A308" s="101" t="s">
        <v>47</v>
      </c>
      <c r="B308" s="102">
        <v>43296</v>
      </c>
      <c r="C308" s="26">
        <v>20242455</v>
      </c>
      <c r="D308" s="26">
        <v>43.4</v>
      </c>
      <c r="E308" s="22">
        <v>97.536000000000001</v>
      </c>
      <c r="F308" s="22">
        <v>101.33</v>
      </c>
      <c r="G308" s="22">
        <f t="shared" si="44"/>
        <v>3.2620811999999972</v>
      </c>
      <c r="J308" s="2"/>
      <c r="K308" s="2"/>
    </row>
    <row r="309" spans="1:13" x14ac:dyDescent="0.25">
      <c r="A309" s="101" t="s">
        <v>48</v>
      </c>
      <c r="B309" s="102">
        <v>43296</v>
      </c>
      <c r="C309" s="26">
        <v>20442453</v>
      </c>
      <c r="D309" s="26">
        <v>79.900000000000006</v>
      </c>
      <c r="E309" s="22">
        <v>105.539</v>
      </c>
      <c r="F309" s="22">
        <v>109.08799999999999</v>
      </c>
      <c r="G309" s="22">
        <f t="shared" si="44"/>
        <v>3.0514301999999933</v>
      </c>
      <c r="J309" s="2"/>
      <c r="K309" s="2"/>
    </row>
    <row r="310" spans="1:13" x14ac:dyDescent="0.25">
      <c r="A310" s="101" t="s">
        <v>49</v>
      </c>
      <c r="B310" s="102">
        <v>43296</v>
      </c>
      <c r="C310" s="26">
        <v>20242456</v>
      </c>
      <c r="D310" s="26">
        <v>106.1</v>
      </c>
      <c r="E310" s="22">
        <v>49.536000000000001</v>
      </c>
      <c r="F310" s="22">
        <v>49.536000000000001</v>
      </c>
      <c r="G310" s="22">
        <f t="shared" si="44"/>
        <v>0</v>
      </c>
      <c r="J310" s="2"/>
      <c r="K310" s="2"/>
    </row>
    <row r="311" spans="1:13" x14ac:dyDescent="0.25">
      <c r="A311" s="101" t="s">
        <v>50</v>
      </c>
      <c r="B311" s="102">
        <v>43296</v>
      </c>
      <c r="C311" s="26">
        <v>20242415</v>
      </c>
      <c r="D311" s="26">
        <v>137.9</v>
      </c>
      <c r="E311" s="22">
        <v>182.72399999999999</v>
      </c>
      <c r="F311" s="22">
        <v>190.029</v>
      </c>
      <c r="G311" s="22">
        <f t="shared" si="44"/>
        <v>6.2808390000000056</v>
      </c>
      <c r="J311" s="2"/>
      <c r="K311" s="2"/>
    </row>
    <row r="312" spans="1:13" x14ac:dyDescent="0.25">
      <c r="A312" s="101" t="s">
        <v>51</v>
      </c>
      <c r="B312" s="102">
        <v>43296</v>
      </c>
      <c r="C312" s="26">
        <v>20242418</v>
      </c>
      <c r="D312" s="26">
        <v>56.4</v>
      </c>
      <c r="E312" s="22">
        <v>193.69300000000001</v>
      </c>
      <c r="F312" s="22">
        <v>200.44300000000001</v>
      </c>
      <c r="G312" s="22">
        <f t="shared" si="44"/>
        <v>5.8036500000000002</v>
      </c>
      <c r="J312" s="2"/>
      <c r="K312" s="2"/>
    </row>
    <row r="313" spans="1:13" x14ac:dyDescent="0.25">
      <c r="C313" s="18"/>
      <c r="D313" s="26">
        <f>SUM(D298:D312)</f>
        <v>1399.2</v>
      </c>
      <c r="E313" s="23">
        <f>SUM(E298:E312)</f>
        <v>1860.4640000000002</v>
      </c>
      <c r="F313" s="23">
        <f>SUM(F298:F312)</f>
        <v>1925.492</v>
      </c>
      <c r="G313" s="23">
        <f>SUM(G298:G312)</f>
        <v>55.911074399999976</v>
      </c>
      <c r="J313" s="2"/>
      <c r="K313" s="2"/>
    </row>
    <row r="314" spans="1:13" x14ac:dyDescent="0.25">
      <c r="A314" s="103"/>
      <c r="B314" s="103"/>
      <c r="C314" s="103"/>
      <c r="D314" s="103"/>
      <c r="E314" s="103"/>
      <c r="F314" s="103"/>
      <c r="G314" s="103"/>
      <c r="J314" s="2"/>
      <c r="K314" s="2"/>
      <c r="M314" s="62"/>
    </row>
    <row r="315" spans="1:13" x14ac:dyDescent="0.25">
      <c r="A315" s="104" t="s">
        <v>14</v>
      </c>
      <c r="G315" s="103"/>
      <c r="J315" s="2"/>
      <c r="K315" s="2"/>
      <c r="M315" s="62"/>
    </row>
    <row r="316" spans="1:13" x14ac:dyDescent="0.25">
      <c r="A316" s="103"/>
      <c r="F316" s="103"/>
      <c r="J316" s="2"/>
      <c r="K316" s="2"/>
      <c r="L316" s="62"/>
      <c r="M316" s="62"/>
    </row>
    <row r="317" spans="1:13" x14ac:dyDescent="0.25">
      <c r="J317" s="2"/>
      <c r="K317" s="2"/>
      <c r="L317" s="62"/>
      <c r="M317" s="62"/>
    </row>
  </sheetData>
  <mergeCells count="80">
    <mergeCell ref="A1:M1"/>
    <mergeCell ref="A3:M3"/>
    <mergeCell ref="A4:M4"/>
    <mergeCell ref="A6:J6"/>
    <mergeCell ref="M6:M10"/>
    <mergeCell ref="A7:E7"/>
    <mergeCell ref="F7:H7"/>
    <mergeCell ref="A8:E8"/>
    <mergeCell ref="F8:H8"/>
    <mergeCell ref="A9:A14"/>
    <mergeCell ref="B9:E10"/>
    <mergeCell ref="F9:H9"/>
    <mergeCell ref="F10:H10"/>
    <mergeCell ref="B11:D11"/>
    <mergeCell ref="F11:J11"/>
    <mergeCell ref="B12:D12"/>
    <mergeCell ref="F13:H13"/>
    <mergeCell ref="B14:D14"/>
    <mergeCell ref="F14:H14"/>
    <mergeCell ref="A15:E15"/>
    <mergeCell ref="F15:H15"/>
    <mergeCell ref="F12:H12"/>
    <mergeCell ref="B21:D21"/>
    <mergeCell ref="F21:H21"/>
    <mergeCell ref="A22:E22"/>
    <mergeCell ref="F22:H22"/>
    <mergeCell ref="A16:A21"/>
    <mergeCell ref="B16:E17"/>
    <mergeCell ref="F16:H16"/>
    <mergeCell ref="F17:H17"/>
    <mergeCell ref="B18:D18"/>
    <mergeCell ref="F18:J18"/>
    <mergeCell ref="B19:D19"/>
    <mergeCell ref="F19:H19"/>
    <mergeCell ref="B20:D20"/>
    <mergeCell ref="F20:H20"/>
    <mergeCell ref="B13:D13"/>
    <mergeCell ref="A23:A28"/>
    <mergeCell ref="B23:E24"/>
    <mergeCell ref="F23:H23"/>
    <mergeCell ref="F24:H24"/>
    <mergeCell ref="B25:D25"/>
    <mergeCell ref="F25:J25"/>
    <mergeCell ref="B26:D26"/>
    <mergeCell ref="F26:H26"/>
    <mergeCell ref="B27:D27"/>
    <mergeCell ref="F27:H27"/>
    <mergeCell ref="B28:D28"/>
    <mergeCell ref="F28:H28"/>
    <mergeCell ref="J36:J37"/>
    <mergeCell ref="F37:H37"/>
    <mergeCell ref="A29:E29"/>
    <mergeCell ref="F29:H29"/>
    <mergeCell ref="A30:A35"/>
    <mergeCell ref="B30:E31"/>
    <mergeCell ref="F30:H30"/>
    <mergeCell ref="F31:H31"/>
    <mergeCell ref="B32:D32"/>
    <mergeCell ref="F32:J32"/>
    <mergeCell ref="B33:D33"/>
    <mergeCell ref="F33:H33"/>
    <mergeCell ref="B34:D34"/>
    <mergeCell ref="F34:H34"/>
    <mergeCell ref="B35:D35"/>
    <mergeCell ref="F35:H35"/>
    <mergeCell ref="F36:H36"/>
    <mergeCell ref="A296:A297"/>
    <mergeCell ref="C296:C297"/>
    <mergeCell ref="D296:D297"/>
    <mergeCell ref="F38:H38"/>
    <mergeCell ref="F39:H39"/>
    <mergeCell ref="A116:C116"/>
    <mergeCell ref="E116:G116"/>
    <mergeCell ref="A173:C173"/>
    <mergeCell ref="E173:G173"/>
    <mergeCell ref="A226:C226"/>
    <mergeCell ref="E226:G226"/>
    <mergeCell ref="A292:C292"/>
    <mergeCell ref="E292:G292"/>
    <mergeCell ref="A293:C293"/>
  </mergeCells>
  <pageMargins left="0.78740157480314965" right="0" top="0" bottom="0" header="0.31496062992125984" footer="0.31496062992125984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148" zoomScaleNormal="100" workbookViewId="0">
      <selection activeCell="G46" sqref="G46"/>
    </sheetView>
  </sheetViews>
  <sheetFormatPr defaultRowHeight="15" x14ac:dyDescent="0.25"/>
  <cols>
    <col min="1" max="1" width="6.42578125" style="2" customWidth="1"/>
    <col min="2" max="2" width="16" style="2" customWidth="1"/>
    <col min="3" max="3" width="15" style="2" customWidth="1"/>
    <col min="4" max="4" width="9.5703125" style="2" customWidth="1"/>
    <col min="5" max="5" width="10.5703125" style="2" customWidth="1"/>
    <col min="6" max="8" width="10.28515625" style="2" customWidth="1"/>
    <col min="9" max="9" width="12.28515625" style="2" customWidth="1"/>
    <col min="10" max="10" width="11.28515625" style="62" customWidth="1"/>
    <col min="11" max="11" width="9.42578125" style="62" customWidth="1"/>
    <col min="12" max="12" width="2.140625" style="2" customWidth="1"/>
    <col min="13" max="13" width="26" style="2" customWidth="1"/>
    <col min="14" max="14" width="9.5703125" style="2" bestFit="1" customWidth="1"/>
    <col min="15" max="16384" width="9.140625" style="2"/>
  </cols>
  <sheetData>
    <row r="1" spans="1:13" ht="20.25" x14ac:dyDescent="0.3">
      <c r="A1" s="255" t="s">
        <v>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4.45" customHeight="1" x14ac:dyDescent="0.3">
      <c r="A2" s="136"/>
      <c r="B2" s="136"/>
      <c r="C2" s="136"/>
      <c r="D2" s="136"/>
      <c r="E2" s="136"/>
      <c r="F2" s="136"/>
      <c r="G2" s="136"/>
      <c r="H2" s="136"/>
      <c r="I2" s="136"/>
      <c r="J2" s="60"/>
      <c r="K2" s="60"/>
      <c r="L2" s="136"/>
      <c r="M2" s="136"/>
    </row>
    <row r="3" spans="1:13" ht="18.75" x14ac:dyDescent="0.25">
      <c r="A3" s="256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8.75" x14ac:dyDescent="0.25">
      <c r="A4" s="256" t="s">
        <v>122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ht="17.4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3" ht="16.149999999999999" customHeight="1" x14ac:dyDescent="0.25">
      <c r="A6" s="237" t="s">
        <v>8</v>
      </c>
      <c r="B6" s="238"/>
      <c r="C6" s="238"/>
      <c r="D6" s="238"/>
      <c r="E6" s="238"/>
      <c r="F6" s="238"/>
      <c r="G6" s="238"/>
      <c r="H6" s="238"/>
      <c r="I6" s="238"/>
      <c r="J6" s="239"/>
      <c r="K6" s="127"/>
      <c r="L6" s="75" t="s">
        <v>10</v>
      </c>
      <c r="M6" s="211" t="s">
        <v>11</v>
      </c>
    </row>
    <row r="7" spans="1:13" ht="37.9" customHeight="1" thickBot="1" x14ac:dyDescent="0.3">
      <c r="A7" s="258" t="s">
        <v>4</v>
      </c>
      <c r="B7" s="258"/>
      <c r="C7" s="258"/>
      <c r="D7" s="258"/>
      <c r="E7" s="258"/>
      <c r="F7" s="244" t="s">
        <v>5</v>
      </c>
      <c r="G7" s="245"/>
      <c r="H7" s="245"/>
      <c r="I7" s="54"/>
      <c r="J7" s="135" t="s">
        <v>123</v>
      </c>
      <c r="K7" s="106"/>
      <c r="L7" s="75"/>
      <c r="M7" s="257"/>
    </row>
    <row r="8" spans="1:13" ht="27" customHeight="1" thickBot="1" x14ac:dyDescent="0.3">
      <c r="A8" s="259" t="s">
        <v>29</v>
      </c>
      <c r="B8" s="260"/>
      <c r="C8" s="261"/>
      <c r="D8" s="261"/>
      <c r="E8" s="261"/>
      <c r="F8" s="262" t="s">
        <v>63</v>
      </c>
      <c r="G8" s="263"/>
      <c r="H8" s="264"/>
      <c r="I8" s="128"/>
      <c r="J8" s="50">
        <v>77.942999999999998</v>
      </c>
      <c r="K8" s="76"/>
      <c r="L8" s="75"/>
      <c r="M8" s="257"/>
    </row>
    <row r="9" spans="1:13" ht="13.9" customHeight="1" x14ac:dyDescent="0.25">
      <c r="A9" s="247"/>
      <c r="B9" s="262" t="s">
        <v>64</v>
      </c>
      <c r="C9" s="263"/>
      <c r="D9" s="263"/>
      <c r="E9" s="264"/>
      <c r="F9" s="268" t="s">
        <v>16</v>
      </c>
      <c r="G9" s="269"/>
      <c r="H9" s="270"/>
      <c r="I9" s="129"/>
      <c r="J9" s="43">
        <f>J13+J12+J14</f>
        <v>79.813336828571408</v>
      </c>
      <c r="K9" s="77"/>
      <c r="L9" s="75"/>
      <c r="M9" s="257"/>
    </row>
    <row r="10" spans="1:13" ht="13.9" customHeight="1" x14ac:dyDescent="0.25">
      <c r="A10" s="229"/>
      <c r="B10" s="265"/>
      <c r="C10" s="266"/>
      <c r="D10" s="266"/>
      <c r="E10" s="267"/>
      <c r="F10" s="237" t="s">
        <v>18</v>
      </c>
      <c r="G10" s="238"/>
      <c r="H10" s="239"/>
      <c r="I10" s="125"/>
      <c r="J10" s="31">
        <f>J8-J13-J12-J14</f>
        <v>-1.8703368285714177</v>
      </c>
      <c r="K10" s="77"/>
      <c r="L10" s="75"/>
      <c r="M10" s="212"/>
    </row>
    <row r="11" spans="1:13" ht="13.9" customHeight="1" x14ac:dyDescent="0.25">
      <c r="A11" s="229"/>
      <c r="B11" s="240" t="s">
        <v>65</v>
      </c>
      <c r="C11" s="241"/>
      <c r="D11" s="241"/>
      <c r="E11" s="55">
        <f>D116</f>
        <v>5338.7000000000025</v>
      </c>
      <c r="F11" s="234"/>
      <c r="G11" s="235"/>
      <c r="H11" s="235"/>
      <c r="I11" s="235"/>
      <c r="J11" s="236"/>
      <c r="K11" s="77"/>
      <c r="L11" s="75"/>
      <c r="M11" s="41"/>
    </row>
    <row r="12" spans="1:13" ht="25.5" customHeight="1" x14ac:dyDescent="0.25">
      <c r="A12" s="229"/>
      <c r="B12" s="240" t="s">
        <v>67</v>
      </c>
      <c r="C12" s="241"/>
      <c r="D12" s="271"/>
      <c r="E12" s="56">
        <f>SUM(D42,D45,D49:D50,D52,D54:D56,D62,D65,D69,D72,D75:D77,D80,D86,D92:D93,D96,D98:D99,D105:D106,D111:D115)</f>
        <v>2060.9</v>
      </c>
      <c r="F12" s="237" t="s">
        <v>83</v>
      </c>
      <c r="G12" s="238"/>
      <c r="H12" s="239"/>
      <c r="I12" s="124"/>
      <c r="J12" s="7">
        <f>I116</f>
        <v>52.994571428571426</v>
      </c>
      <c r="K12" s="77"/>
      <c r="L12" s="75"/>
      <c r="M12" s="44"/>
    </row>
    <row r="13" spans="1:13" ht="25.5" customHeight="1" x14ac:dyDescent="0.25">
      <c r="A13" s="229"/>
      <c r="B13" s="240" t="s">
        <v>84</v>
      </c>
      <c r="C13" s="241"/>
      <c r="D13" s="241"/>
      <c r="E13" s="56">
        <f>SUM(D43:D44,D46:D48,D51,D53,D57:D61,D63:D64,D66:D68,D70:D71,D73:D74,D78:D79,D81:D85,D87:D88,D89:D91,D94:D95,D97,D100:D104,D107:D110)</f>
        <v>3277.8</v>
      </c>
      <c r="F13" s="237" t="s">
        <v>66</v>
      </c>
      <c r="G13" s="238"/>
      <c r="H13" s="239"/>
      <c r="I13" s="125"/>
      <c r="J13" s="7">
        <f>H116</f>
        <v>26.81876539999999</v>
      </c>
      <c r="K13" s="77"/>
      <c r="L13" s="75"/>
      <c r="M13" s="41"/>
    </row>
    <row r="14" spans="1:13" ht="25.5" customHeight="1" thickBot="1" x14ac:dyDescent="0.3">
      <c r="A14" s="230"/>
      <c r="B14" s="242" t="s">
        <v>85</v>
      </c>
      <c r="C14" s="243"/>
      <c r="D14" s="243"/>
      <c r="E14" s="57">
        <v>0</v>
      </c>
      <c r="F14" s="244" t="s">
        <v>86</v>
      </c>
      <c r="G14" s="245"/>
      <c r="H14" s="246"/>
      <c r="I14" s="126"/>
      <c r="J14" s="46">
        <v>0</v>
      </c>
      <c r="K14" s="77"/>
      <c r="L14" s="75"/>
      <c r="M14" s="41"/>
    </row>
    <row r="15" spans="1:13" ht="27.75" customHeight="1" thickBot="1" x14ac:dyDescent="0.3">
      <c r="A15" s="249" t="s">
        <v>90</v>
      </c>
      <c r="B15" s="250"/>
      <c r="C15" s="251"/>
      <c r="D15" s="251"/>
      <c r="E15" s="251"/>
      <c r="F15" s="252" t="s">
        <v>68</v>
      </c>
      <c r="G15" s="253"/>
      <c r="H15" s="254"/>
      <c r="I15" s="127"/>
      <c r="J15" s="133">
        <v>60.293999999999997</v>
      </c>
      <c r="K15" s="78"/>
      <c r="L15" s="75"/>
      <c r="M15" s="14"/>
    </row>
    <row r="16" spans="1:13" ht="13.9" customHeight="1" x14ac:dyDescent="0.25">
      <c r="A16" s="247"/>
      <c r="B16" s="248" t="s">
        <v>64</v>
      </c>
      <c r="C16" s="248"/>
      <c r="D16" s="248"/>
      <c r="E16" s="248"/>
      <c r="F16" s="248" t="s">
        <v>17</v>
      </c>
      <c r="G16" s="248"/>
      <c r="H16" s="248"/>
      <c r="I16" s="123"/>
      <c r="J16" s="43">
        <f>J20+J19+J21</f>
        <v>58.203035942857156</v>
      </c>
      <c r="K16" s="77"/>
      <c r="L16" s="75"/>
      <c r="M16" s="14" t="s">
        <v>52</v>
      </c>
    </row>
    <row r="17" spans="1:13" ht="13.9" customHeight="1" x14ac:dyDescent="0.25">
      <c r="A17" s="229"/>
      <c r="B17" s="232"/>
      <c r="C17" s="232"/>
      <c r="D17" s="232"/>
      <c r="E17" s="232"/>
      <c r="F17" s="232" t="s">
        <v>19</v>
      </c>
      <c r="G17" s="232"/>
      <c r="H17" s="232"/>
      <c r="I17" s="124"/>
      <c r="J17" s="31">
        <f>J15-J20-J19-J21</f>
        <v>2.0909640571428447</v>
      </c>
      <c r="K17" s="77"/>
      <c r="L17" s="75"/>
      <c r="M17" s="14" t="s">
        <v>32</v>
      </c>
    </row>
    <row r="18" spans="1:13" ht="13.9" customHeight="1" x14ac:dyDescent="0.25">
      <c r="A18" s="229"/>
      <c r="B18" s="233" t="s">
        <v>65</v>
      </c>
      <c r="C18" s="233"/>
      <c r="D18" s="233"/>
      <c r="E18" s="55">
        <f>D173</f>
        <v>3918.9999999999991</v>
      </c>
      <c r="F18" s="234"/>
      <c r="G18" s="235"/>
      <c r="H18" s="235"/>
      <c r="I18" s="235"/>
      <c r="J18" s="236"/>
      <c r="K18" s="77"/>
      <c r="L18" s="75"/>
      <c r="M18" s="14"/>
    </row>
    <row r="19" spans="1:13" ht="29.25" customHeight="1" x14ac:dyDescent="0.25">
      <c r="A19" s="229"/>
      <c r="B19" s="233" t="s">
        <v>67</v>
      </c>
      <c r="C19" s="233"/>
      <c r="D19" s="233"/>
      <c r="E19" s="56">
        <f>SUM(D117,D122:D123,D126:D127,D129,D132,D137,D139,D147,D149,D158,D163:D164,D169:D170)</f>
        <v>1110.7000000000003</v>
      </c>
      <c r="F19" s="237" t="s">
        <v>83</v>
      </c>
      <c r="G19" s="238"/>
      <c r="H19" s="239"/>
      <c r="I19" s="124"/>
      <c r="J19" s="7">
        <f>I173</f>
        <v>28.560857142857145</v>
      </c>
      <c r="K19" s="77"/>
      <c r="L19" s="75"/>
      <c r="M19" s="14"/>
    </row>
    <row r="20" spans="1:13" ht="29.25" customHeight="1" x14ac:dyDescent="0.25">
      <c r="A20" s="229"/>
      <c r="B20" s="240" t="s">
        <v>84</v>
      </c>
      <c r="C20" s="241"/>
      <c r="D20" s="241"/>
      <c r="E20" s="56">
        <f>SUM(D118:D121,D124:D125,D128,D130:D131,D133:D136,D138,D140:D146,D148,D150:D157,D159:D162,D165:D168,D171:D172)</f>
        <v>2808.2999999999993</v>
      </c>
      <c r="F20" s="232" t="s">
        <v>66</v>
      </c>
      <c r="G20" s="232"/>
      <c r="H20" s="232"/>
      <c r="I20" s="124"/>
      <c r="J20" s="7">
        <f>H173</f>
        <v>29.642178800000007</v>
      </c>
      <c r="K20" s="77"/>
      <c r="L20" s="75"/>
      <c r="M20" s="14"/>
    </row>
    <row r="21" spans="1:13" ht="29.25" customHeight="1" thickBot="1" x14ac:dyDescent="0.3">
      <c r="A21" s="230"/>
      <c r="B21" s="242" t="s">
        <v>85</v>
      </c>
      <c r="C21" s="243"/>
      <c r="D21" s="243"/>
      <c r="E21" s="57">
        <v>0</v>
      </c>
      <c r="F21" s="244" t="s">
        <v>86</v>
      </c>
      <c r="G21" s="245"/>
      <c r="H21" s="246"/>
      <c r="I21" s="126"/>
      <c r="J21" s="46">
        <v>0</v>
      </c>
      <c r="K21" s="77"/>
      <c r="L21" s="75"/>
      <c r="M21" s="14"/>
    </row>
    <row r="22" spans="1:13" ht="24.75" customHeight="1" thickBot="1" x14ac:dyDescent="0.3">
      <c r="A22" s="226" t="s">
        <v>30</v>
      </c>
      <c r="B22" s="227"/>
      <c r="C22" s="227"/>
      <c r="D22" s="227"/>
      <c r="E22" s="227"/>
      <c r="F22" s="228" t="s">
        <v>20</v>
      </c>
      <c r="G22" s="228"/>
      <c r="H22" s="228"/>
      <c r="I22" s="122"/>
      <c r="J22" s="51">
        <v>60.363999999999997</v>
      </c>
      <c r="K22" s="78"/>
      <c r="L22" s="75"/>
      <c r="M22" s="11"/>
    </row>
    <row r="23" spans="1:13" ht="13.9" customHeight="1" x14ac:dyDescent="0.25">
      <c r="A23" s="247"/>
      <c r="B23" s="248" t="s">
        <v>64</v>
      </c>
      <c r="C23" s="248"/>
      <c r="D23" s="248"/>
      <c r="E23" s="248"/>
      <c r="F23" s="248" t="s">
        <v>21</v>
      </c>
      <c r="G23" s="248"/>
      <c r="H23" s="248"/>
      <c r="I23" s="123"/>
      <c r="J23" s="43">
        <f>J27+J26+J28</f>
        <v>45.370833671428578</v>
      </c>
      <c r="K23" s="77"/>
      <c r="L23" s="75"/>
      <c r="M23" s="3"/>
    </row>
    <row r="24" spans="1:13" ht="13.9" customHeight="1" x14ac:dyDescent="0.25">
      <c r="A24" s="229"/>
      <c r="B24" s="232"/>
      <c r="C24" s="232"/>
      <c r="D24" s="232"/>
      <c r="E24" s="232"/>
      <c r="F24" s="232" t="s">
        <v>22</v>
      </c>
      <c r="G24" s="232"/>
      <c r="H24" s="232"/>
      <c r="I24" s="124"/>
      <c r="J24" s="31">
        <f>J22-J27-J26-J28</f>
        <v>14.993166328571423</v>
      </c>
      <c r="K24" s="77"/>
      <c r="L24" s="75"/>
      <c r="M24" s="3"/>
    </row>
    <row r="25" spans="1:13" ht="13.9" customHeight="1" x14ac:dyDescent="0.25">
      <c r="A25" s="229"/>
      <c r="B25" s="233" t="s">
        <v>65</v>
      </c>
      <c r="C25" s="233"/>
      <c r="D25" s="233"/>
      <c r="E25" s="55">
        <f>D226</f>
        <v>3672.6000000000013</v>
      </c>
      <c r="F25" s="234"/>
      <c r="G25" s="235"/>
      <c r="H25" s="235"/>
      <c r="I25" s="235"/>
      <c r="J25" s="236"/>
      <c r="K25" s="77"/>
      <c r="L25" s="75"/>
      <c r="M25" s="3"/>
    </row>
    <row r="26" spans="1:13" ht="27.75" customHeight="1" x14ac:dyDescent="0.25">
      <c r="A26" s="229"/>
      <c r="B26" s="233" t="s">
        <v>67</v>
      </c>
      <c r="C26" s="233"/>
      <c r="D26" s="233"/>
      <c r="E26" s="56">
        <f>SUM(D179,D184,D187,D192,D198,D201,D205,D210:D211,D216,D221,D223:D225)</f>
        <v>963.79999999999984</v>
      </c>
      <c r="F26" s="237" t="s">
        <v>83</v>
      </c>
      <c r="G26" s="238"/>
      <c r="H26" s="239"/>
      <c r="I26" s="124"/>
      <c r="J26" s="7">
        <f>I226</f>
        <v>24.783428571428569</v>
      </c>
      <c r="K26" s="77"/>
      <c r="L26" s="75"/>
      <c r="M26" s="3"/>
    </row>
    <row r="27" spans="1:13" ht="27.75" customHeight="1" x14ac:dyDescent="0.25">
      <c r="A27" s="229"/>
      <c r="B27" s="240" t="s">
        <v>84</v>
      </c>
      <c r="C27" s="241"/>
      <c r="D27" s="241"/>
      <c r="E27" s="56">
        <f>SUM(D174:D178,D180:D183,D185:D186,D188:D191,D193:D197,D199:D200,D202:D204,D206:D209,D212:D215,D217:D220,D222)</f>
        <v>2708.8</v>
      </c>
      <c r="F27" s="232" t="s">
        <v>66</v>
      </c>
      <c r="G27" s="232"/>
      <c r="H27" s="232"/>
      <c r="I27" s="124"/>
      <c r="J27" s="7">
        <f>H226</f>
        <v>20.587405100000009</v>
      </c>
      <c r="K27" s="77"/>
      <c r="L27" s="75"/>
      <c r="M27" s="3"/>
    </row>
    <row r="28" spans="1:13" ht="27.75" customHeight="1" thickBot="1" x14ac:dyDescent="0.3">
      <c r="A28" s="230"/>
      <c r="B28" s="242" t="s">
        <v>85</v>
      </c>
      <c r="C28" s="243"/>
      <c r="D28" s="243"/>
      <c r="E28" s="57">
        <v>0</v>
      </c>
      <c r="F28" s="244" t="s">
        <v>86</v>
      </c>
      <c r="G28" s="245"/>
      <c r="H28" s="246"/>
      <c r="I28" s="126"/>
      <c r="J28" s="46">
        <v>0</v>
      </c>
      <c r="K28" s="77"/>
      <c r="L28" s="75"/>
      <c r="M28" s="3"/>
    </row>
    <row r="29" spans="1:13" ht="25.5" customHeight="1" thickBot="1" x14ac:dyDescent="0.3">
      <c r="A29" s="226" t="s">
        <v>31</v>
      </c>
      <c r="B29" s="227"/>
      <c r="C29" s="227"/>
      <c r="D29" s="227"/>
      <c r="E29" s="227"/>
      <c r="F29" s="228" t="s">
        <v>23</v>
      </c>
      <c r="G29" s="228"/>
      <c r="H29" s="228"/>
      <c r="I29" s="122"/>
      <c r="J29" s="51">
        <v>70.510999999999996</v>
      </c>
      <c r="K29" s="78"/>
      <c r="L29" s="75"/>
      <c r="M29" s="3"/>
    </row>
    <row r="30" spans="1:13" ht="13.9" customHeight="1" x14ac:dyDescent="0.25">
      <c r="A30" s="229"/>
      <c r="B30" s="231" t="s">
        <v>64</v>
      </c>
      <c r="C30" s="231"/>
      <c r="D30" s="231"/>
      <c r="E30" s="231"/>
      <c r="F30" s="231" t="s">
        <v>24</v>
      </c>
      <c r="G30" s="231"/>
      <c r="H30" s="231"/>
      <c r="I30" s="130"/>
      <c r="J30" s="45">
        <f>J34+J33+J35</f>
        <v>78.431588200000007</v>
      </c>
      <c r="K30" s="77"/>
      <c r="L30" s="75"/>
      <c r="M30" s="3"/>
    </row>
    <row r="31" spans="1:13" ht="13.9" customHeight="1" x14ac:dyDescent="0.25">
      <c r="A31" s="229"/>
      <c r="B31" s="232"/>
      <c r="C31" s="232"/>
      <c r="D31" s="232"/>
      <c r="E31" s="232"/>
      <c r="F31" s="232" t="s">
        <v>25</v>
      </c>
      <c r="G31" s="232"/>
      <c r="H31" s="232"/>
      <c r="I31" s="124"/>
      <c r="J31" s="31">
        <f>J29-J34-J33-J35</f>
        <v>-7.9205882000000116</v>
      </c>
      <c r="K31" s="77"/>
      <c r="L31" s="75"/>
      <c r="M31" s="3"/>
    </row>
    <row r="32" spans="1:13" ht="13.9" customHeight="1" x14ac:dyDescent="0.25">
      <c r="A32" s="229"/>
      <c r="B32" s="233" t="s">
        <v>65</v>
      </c>
      <c r="C32" s="233"/>
      <c r="D32" s="233"/>
      <c r="E32" s="55">
        <f>D292</f>
        <v>4660.1000000000022</v>
      </c>
      <c r="F32" s="234"/>
      <c r="G32" s="235"/>
      <c r="H32" s="235"/>
      <c r="I32" s="235"/>
      <c r="J32" s="236"/>
      <c r="K32" s="77"/>
      <c r="L32" s="75"/>
      <c r="M32" s="3"/>
    </row>
    <row r="33" spans="1:13" ht="26.25" customHeight="1" x14ac:dyDescent="0.25">
      <c r="A33" s="229"/>
      <c r="B33" s="233" t="s">
        <v>67</v>
      </c>
      <c r="C33" s="233"/>
      <c r="D33" s="233"/>
      <c r="E33" s="56">
        <f>SUM(D227:D230,D232,D238,D243,D247:D251,D253:D256,D258:D259,D261,D263,D269:D270,D272:D273,D275,D278,D280,D284:D287,D290)</f>
        <v>2146.8999999999996</v>
      </c>
      <c r="F33" s="237" t="s">
        <v>83</v>
      </c>
      <c r="G33" s="238"/>
      <c r="H33" s="239"/>
      <c r="I33" s="124"/>
      <c r="J33" s="7">
        <f>I292</f>
        <v>55.20600000000001</v>
      </c>
      <c r="K33" s="77"/>
      <c r="L33" s="75"/>
      <c r="M33" s="3"/>
    </row>
    <row r="34" spans="1:13" ht="26.25" customHeight="1" x14ac:dyDescent="0.25">
      <c r="A34" s="229"/>
      <c r="B34" s="240" t="s">
        <v>84</v>
      </c>
      <c r="C34" s="241"/>
      <c r="D34" s="241"/>
      <c r="E34" s="56">
        <f>SUM(D231,D233:D237,D239:D241,D242,D244:D246,D252,D257,D260,D262,D264:D268,D271,D274,D276:D277,D279,D281:D282,D283,D288:D289,D291)</f>
        <v>2513.2000000000003</v>
      </c>
      <c r="F34" s="232" t="s">
        <v>66</v>
      </c>
      <c r="G34" s="232"/>
      <c r="H34" s="232"/>
      <c r="I34" s="124"/>
      <c r="J34" s="7">
        <f>H292</f>
        <v>23.225588199999997</v>
      </c>
      <c r="K34" s="77"/>
      <c r="L34" s="75"/>
      <c r="M34" s="3"/>
    </row>
    <row r="35" spans="1:13" ht="26.25" customHeight="1" thickBot="1" x14ac:dyDescent="0.3">
      <c r="A35" s="230"/>
      <c r="B35" s="242" t="s">
        <v>85</v>
      </c>
      <c r="C35" s="243"/>
      <c r="D35" s="243"/>
      <c r="E35" s="57">
        <v>0</v>
      </c>
      <c r="F35" s="244" t="s">
        <v>86</v>
      </c>
      <c r="G35" s="245"/>
      <c r="H35" s="246"/>
      <c r="I35" s="126"/>
      <c r="J35" s="46">
        <v>0</v>
      </c>
      <c r="K35" s="77"/>
      <c r="L35" s="75"/>
      <c r="M35" s="3"/>
    </row>
    <row r="36" spans="1:13" ht="13.9" customHeight="1" x14ac:dyDescent="0.25">
      <c r="A36" s="79"/>
      <c r="B36" s="79"/>
      <c r="C36" s="79"/>
      <c r="D36" s="79"/>
      <c r="E36" s="79"/>
      <c r="F36" s="204" t="s">
        <v>26</v>
      </c>
      <c r="G36" s="205"/>
      <c r="H36" s="206"/>
      <c r="I36" s="127"/>
      <c r="J36" s="223">
        <f>J8+J15+J22+J29</f>
        <v>269.11199999999997</v>
      </c>
      <c r="K36" s="80"/>
      <c r="L36" s="75"/>
      <c r="M36" s="3"/>
    </row>
    <row r="37" spans="1:13" ht="13.9" customHeight="1" x14ac:dyDescent="0.25">
      <c r="A37" s="79"/>
      <c r="B37" s="79"/>
      <c r="C37" s="79"/>
      <c r="D37" s="79"/>
      <c r="E37" s="79"/>
      <c r="F37" s="224" t="s">
        <v>27</v>
      </c>
      <c r="G37" s="225"/>
      <c r="H37" s="214"/>
      <c r="I37" s="79"/>
      <c r="J37" s="223"/>
      <c r="K37" s="80"/>
      <c r="L37" s="75"/>
      <c r="M37" s="3"/>
    </row>
    <row r="38" spans="1:13" ht="13.9" customHeight="1" x14ac:dyDescent="0.25">
      <c r="A38" s="79"/>
      <c r="B38" s="79"/>
      <c r="C38" s="79"/>
      <c r="D38" s="79"/>
      <c r="E38" s="79"/>
      <c r="F38" s="213" t="s">
        <v>28</v>
      </c>
      <c r="G38" s="214"/>
      <c r="H38" s="215"/>
      <c r="I38" s="81"/>
      <c r="J38" s="31">
        <f>J9+J16+J23+J30</f>
        <v>261.81879464285714</v>
      </c>
      <c r="K38" s="77">
        <f>J38*100/J36</f>
        <v>97.289899611632762</v>
      </c>
      <c r="L38" s="75"/>
      <c r="M38" s="3"/>
    </row>
    <row r="39" spans="1:13" ht="13.9" customHeight="1" thickBot="1" x14ac:dyDescent="0.3">
      <c r="A39" s="79"/>
      <c r="B39" s="79"/>
      <c r="C39" s="79"/>
      <c r="D39" s="79"/>
      <c r="E39" s="79"/>
      <c r="F39" s="216" t="s">
        <v>9</v>
      </c>
      <c r="G39" s="217"/>
      <c r="H39" s="218"/>
      <c r="I39" s="82"/>
      <c r="J39" s="61">
        <f>J10+J17+J24+J31</f>
        <v>7.2932053571428384</v>
      </c>
      <c r="K39" s="77">
        <f>J39*100/J36</f>
        <v>2.7101003883672368</v>
      </c>
      <c r="L39" s="75"/>
      <c r="M39" s="3"/>
    </row>
    <row r="40" spans="1:13" ht="14.45" customHeight="1" x14ac:dyDescent="0.25">
      <c r="M40" s="3"/>
    </row>
    <row r="41" spans="1:13" s="11" customFormat="1" ht="61.5" customHeight="1" x14ac:dyDescent="0.25">
      <c r="A41" s="83" t="s">
        <v>0</v>
      </c>
      <c r="B41" s="83" t="s">
        <v>55</v>
      </c>
      <c r="C41" s="84" t="s">
        <v>1</v>
      </c>
      <c r="D41" s="83" t="s">
        <v>2</v>
      </c>
      <c r="E41" s="85" t="s">
        <v>119</v>
      </c>
      <c r="F41" s="85" t="s">
        <v>124</v>
      </c>
      <c r="G41" s="85" t="s">
        <v>33</v>
      </c>
      <c r="H41" s="85" t="s">
        <v>12</v>
      </c>
      <c r="I41" s="86" t="s">
        <v>87</v>
      </c>
      <c r="J41" s="63" t="s">
        <v>6</v>
      </c>
      <c r="K41" s="87" t="s">
        <v>13</v>
      </c>
      <c r="L41" s="88"/>
      <c r="M41" s="13"/>
    </row>
    <row r="42" spans="1:13" x14ac:dyDescent="0.25">
      <c r="A42" s="1">
        <v>1</v>
      </c>
      <c r="B42" s="1"/>
      <c r="C42" s="66">
        <v>43441363</v>
      </c>
      <c r="D42" s="124">
        <v>112.5</v>
      </c>
      <c r="E42" s="5">
        <v>82.266000000000005</v>
      </c>
      <c r="F42" s="5">
        <v>84.912999999999997</v>
      </c>
      <c r="G42" s="28"/>
      <c r="H42" s="16">
        <f>G42*0.8598</f>
        <v>0</v>
      </c>
      <c r="I42" s="16">
        <f>((D42*0.015)*12)/7</f>
        <v>2.8928571428571428</v>
      </c>
      <c r="J42" s="16">
        <f>D42/($E$11-$E$13)*$J$10</f>
        <v>-0.10209757543514206</v>
      </c>
      <c r="K42" s="16">
        <f>H42+I42+J42</f>
        <v>2.7907595674220009</v>
      </c>
      <c r="M42" s="13" t="s">
        <v>71</v>
      </c>
    </row>
    <row r="43" spans="1:13" x14ac:dyDescent="0.25">
      <c r="A43" s="1">
        <v>2</v>
      </c>
      <c r="B43" s="47">
        <v>45915</v>
      </c>
      <c r="C43" s="66">
        <v>43242252</v>
      </c>
      <c r="D43" s="124">
        <v>58.7</v>
      </c>
      <c r="E43" s="5">
        <v>49.250999999999998</v>
      </c>
      <c r="F43" s="5">
        <v>49.893999999999998</v>
      </c>
      <c r="G43" s="28">
        <f>F43-E43</f>
        <v>0.64300000000000068</v>
      </c>
      <c r="H43" s="16">
        <f t="shared" ref="H43:H106" si="0">G43*0.8598</f>
        <v>0.55285140000000055</v>
      </c>
      <c r="I43" s="16"/>
      <c r="J43" s="16"/>
      <c r="K43" s="16">
        <f>H43+I43+J43</f>
        <v>0.55285140000000055</v>
      </c>
      <c r="M43" s="13" t="s">
        <v>69</v>
      </c>
    </row>
    <row r="44" spans="1:13" x14ac:dyDescent="0.25">
      <c r="A44" s="1">
        <v>3</v>
      </c>
      <c r="B44" s="52">
        <v>45686</v>
      </c>
      <c r="C44" s="10" t="s">
        <v>91</v>
      </c>
      <c r="D44" s="124">
        <v>50.5</v>
      </c>
      <c r="E44" s="39">
        <v>2.84</v>
      </c>
      <c r="F44" s="39">
        <v>3.1774</v>
      </c>
      <c r="G44" s="5"/>
      <c r="H44" s="16">
        <f>F44-E44</f>
        <v>0.33740000000000014</v>
      </c>
      <c r="I44" s="16"/>
      <c r="J44" s="16"/>
      <c r="K44" s="16">
        <f t="shared" ref="K44:K58" si="1">H44+I44+J44</f>
        <v>0.33740000000000014</v>
      </c>
      <c r="M44" s="13" t="s">
        <v>69</v>
      </c>
    </row>
    <row r="45" spans="1:13" x14ac:dyDescent="0.25">
      <c r="A45" s="1">
        <v>4</v>
      </c>
      <c r="B45" s="34"/>
      <c r="C45" s="66">
        <v>43441362</v>
      </c>
      <c r="D45" s="125">
        <v>51.8</v>
      </c>
      <c r="E45" s="5">
        <v>34.545999999999999</v>
      </c>
      <c r="F45" s="5">
        <v>34.94</v>
      </c>
      <c r="G45" s="28"/>
      <c r="H45" s="16">
        <f t="shared" si="0"/>
        <v>0</v>
      </c>
      <c r="I45" s="16">
        <f>((D45*0.015)*12)/7</f>
        <v>1.3319999999999996</v>
      </c>
      <c r="J45" s="16">
        <f>D45/($E$11-$E$13)*$J$10</f>
        <v>-4.7010261400358737E-2</v>
      </c>
      <c r="K45" s="16">
        <f t="shared" si="1"/>
        <v>1.2849897385996409</v>
      </c>
      <c r="M45" s="13" t="s">
        <v>71</v>
      </c>
    </row>
    <row r="46" spans="1:13" x14ac:dyDescent="0.25">
      <c r="A46" s="1">
        <v>5</v>
      </c>
      <c r="B46" s="47">
        <v>45598</v>
      </c>
      <c r="C46" s="66">
        <v>43242251</v>
      </c>
      <c r="D46" s="125">
        <v>52.9</v>
      </c>
      <c r="E46" s="5">
        <v>24.744</v>
      </c>
      <c r="F46" s="5">
        <v>25.219000000000001</v>
      </c>
      <c r="G46" s="28">
        <f>F46-E46</f>
        <v>0.47500000000000142</v>
      </c>
      <c r="H46" s="16">
        <f t="shared" si="0"/>
        <v>0.40840500000000124</v>
      </c>
      <c r="I46" s="16"/>
      <c r="J46" s="16"/>
      <c r="K46" s="16">
        <f t="shared" si="1"/>
        <v>0.40840500000000124</v>
      </c>
      <c r="M46" s="13" t="s">
        <v>69</v>
      </c>
    </row>
    <row r="47" spans="1:13" x14ac:dyDescent="0.25">
      <c r="A47" s="1">
        <v>6</v>
      </c>
      <c r="B47" s="47">
        <v>45453</v>
      </c>
      <c r="C47" s="10" t="s">
        <v>56</v>
      </c>
      <c r="D47" s="125">
        <v>99.6</v>
      </c>
      <c r="E47" s="39">
        <v>9.3318999999999992</v>
      </c>
      <c r="F47" s="39">
        <v>10.039</v>
      </c>
      <c r="G47" s="58"/>
      <c r="H47" s="16">
        <f>F47-E47</f>
        <v>0.70710000000000051</v>
      </c>
      <c r="I47" s="16"/>
      <c r="J47" s="16"/>
      <c r="K47" s="16">
        <f t="shared" si="1"/>
        <v>0.70710000000000051</v>
      </c>
      <c r="M47" s="13" t="s">
        <v>69</v>
      </c>
    </row>
    <row r="48" spans="1:13" x14ac:dyDescent="0.25">
      <c r="A48" s="1">
        <v>7</v>
      </c>
      <c r="B48" s="47">
        <v>45594</v>
      </c>
      <c r="C48" s="10" t="s">
        <v>70</v>
      </c>
      <c r="D48" s="125">
        <v>112.6</v>
      </c>
      <c r="E48" s="39">
        <v>10.878</v>
      </c>
      <c r="F48" s="39">
        <v>12.124700000000001</v>
      </c>
      <c r="G48" s="58"/>
      <c r="H48" s="16">
        <f>F48-E48</f>
        <v>1.2467000000000006</v>
      </c>
      <c r="I48" s="16"/>
      <c r="J48" s="16"/>
      <c r="K48" s="16">
        <f t="shared" si="1"/>
        <v>1.2467000000000006</v>
      </c>
      <c r="M48" s="13" t="s">
        <v>69</v>
      </c>
    </row>
    <row r="49" spans="1:13" x14ac:dyDescent="0.25">
      <c r="A49" s="1">
        <v>8</v>
      </c>
      <c r="B49" s="34"/>
      <c r="C49" s="66">
        <v>43441368</v>
      </c>
      <c r="D49" s="125">
        <v>62.5</v>
      </c>
      <c r="E49" s="5">
        <v>18.077000000000002</v>
      </c>
      <c r="F49" s="5">
        <v>18.100000000000001</v>
      </c>
      <c r="G49" s="28"/>
      <c r="H49" s="16">
        <f t="shared" si="0"/>
        <v>0</v>
      </c>
      <c r="I49" s="16">
        <f t="shared" ref="I49:I56" si="2">((D49*0.015)*12)/7</f>
        <v>1.6071428571428572</v>
      </c>
      <c r="J49" s="16">
        <f t="shared" ref="J49:J50" si="3">D49/($E$11-$E$13)*$J$10</f>
        <v>-5.6720875241745579E-2</v>
      </c>
      <c r="K49" s="16">
        <f t="shared" si="1"/>
        <v>1.5504219819011116</v>
      </c>
      <c r="M49" s="13" t="s">
        <v>71</v>
      </c>
    </row>
    <row r="50" spans="1:13" x14ac:dyDescent="0.25">
      <c r="A50" s="1">
        <v>9</v>
      </c>
      <c r="B50" s="33"/>
      <c r="C50" s="66">
        <v>43441366</v>
      </c>
      <c r="D50" s="124">
        <v>50.5</v>
      </c>
      <c r="E50" s="5">
        <v>41.963999999999999</v>
      </c>
      <c r="F50" s="5">
        <v>43.134</v>
      </c>
      <c r="G50" s="5"/>
      <c r="H50" s="16">
        <f t="shared" si="0"/>
        <v>0</v>
      </c>
      <c r="I50" s="16">
        <f t="shared" si="2"/>
        <v>1.2985714285714285</v>
      </c>
      <c r="J50" s="16">
        <f t="shared" si="3"/>
        <v>-4.5830467195330432E-2</v>
      </c>
      <c r="K50" s="16">
        <f t="shared" si="1"/>
        <v>1.252740961376098</v>
      </c>
      <c r="M50" s="13" t="s">
        <v>71</v>
      </c>
    </row>
    <row r="51" spans="1:13" x14ac:dyDescent="0.25">
      <c r="A51" s="1">
        <v>10</v>
      </c>
      <c r="B51" s="47">
        <v>45746</v>
      </c>
      <c r="C51" s="66">
        <v>43441367</v>
      </c>
      <c r="D51" s="124">
        <v>52.3</v>
      </c>
      <c r="E51" s="5">
        <v>14.262</v>
      </c>
      <c r="F51" s="5">
        <v>14.464</v>
      </c>
      <c r="G51" s="5">
        <f>F51-E51</f>
        <v>0.20199999999999996</v>
      </c>
      <c r="H51" s="16">
        <f t="shared" si="0"/>
        <v>0.17367959999999996</v>
      </c>
      <c r="I51" s="16"/>
      <c r="J51" s="16"/>
      <c r="K51" s="16">
        <f t="shared" si="1"/>
        <v>0.17367959999999996</v>
      </c>
      <c r="M51" s="13" t="s">
        <v>69</v>
      </c>
    </row>
    <row r="52" spans="1:13" x14ac:dyDescent="0.25">
      <c r="A52" s="1">
        <v>11</v>
      </c>
      <c r="B52" s="33"/>
      <c r="C52" s="66">
        <v>43441360</v>
      </c>
      <c r="D52" s="124">
        <v>53</v>
      </c>
      <c r="E52" s="5">
        <v>20.123000000000001</v>
      </c>
      <c r="F52" s="5">
        <v>20.454000000000001</v>
      </c>
      <c r="G52" s="5"/>
      <c r="H52" s="16">
        <f t="shared" si="0"/>
        <v>0</v>
      </c>
      <c r="I52" s="16">
        <f t="shared" si="2"/>
        <v>1.3628571428571428</v>
      </c>
      <c r="J52" s="16">
        <f>D52/($E$11-$E$13)*$J$10</f>
        <v>-4.8099302205000249E-2</v>
      </c>
      <c r="K52" s="16">
        <f t="shared" si="1"/>
        <v>1.3147578406521425</v>
      </c>
      <c r="M52" s="13" t="s">
        <v>71</v>
      </c>
    </row>
    <row r="53" spans="1:13" x14ac:dyDescent="0.25">
      <c r="A53" s="1">
        <v>12</v>
      </c>
      <c r="B53" s="47">
        <v>45600</v>
      </c>
      <c r="C53" s="66">
        <v>43441365</v>
      </c>
      <c r="D53" s="124">
        <v>100.2</v>
      </c>
      <c r="E53" s="5">
        <v>53.118000000000002</v>
      </c>
      <c r="F53" s="5">
        <v>54.914999999999999</v>
      </c>
      <c r="G53" s="5">
        <f>F53-E53</f>
        <v>1.796999999999997</v>
      </c>
      <c r="H53" s="16">
        <f>G53*0.8598</f>
        <v>1.5450605999999976</v>
      </c>
      <c r="I53" s="16"/>
      <c r="J53" s="16"/>
      <c r="K53" s="16">
        <f t="shared" si="1"/>
        <v>1.5450605999999976</v>
      </c>
      <c r="M53" s="13" t="s">
        <v>69</v>
      </c>
    </row>
    <row r="54" spans="1:13" x14ac:dyDescent="0.25">
      <c r="A54" s="1">
        <v>13</v>
      </c>
      <c r="B54" s="33"/>
      <c r="C54" s="67">
        <v>43441377</v>
      </c>
      <c r="D54" s="124">
        <v>112.4</v>
      </c>
      <c r="E54" s="5">
        <v>66.343999999999994</v>
      </c>
      <c r="F54" s="5">
        <v>67.983000000000004</v>
      </c>
      <c r="G54" s="5"/>
      <c r="H54" s="16">
        <f t="shared" si="0"/>
        <v>0</v>
      </c>
      <c r="I54" s="16">
        <f t="shared" si="2"/>
        <v>2.8902857142857141</v>
      </c>
      <c r="J54" s="16">
        <f t="shared" ref="J54:J56" si="4">D54/($E$11-$E$13)*$J$10</f>
        <v>-0.10200682203475527</v>
      </c>
      <c r="K54" s="16">
        <f t="shared" si="1"/>
        <v>2.7882788922509589</v>
      </c>
      <c r="M54" s="13" t="s">
        <v>71</v>
      </c>
    </row>
    <row r="55" spans="1:13" x14ac:dyDescent="0.25">
      <c r="A55" s="1">
        <v>14</v>
      </c>
      <c r="B55" s="33"/>
      <c r="C55" s="67">
        <v>43441370</v>
      </c>
      <c r="D55" s="124">
        <v>63.8</v>
      </c>
      <c r="E55" s="5">
        <v>67.492000000000004</v>
      </c>
      <c r="F55" s="5">
        <v>69.03</v>
      </c>
      <c r="G55" s="5"/>
      <c r="H55" s="16">
        <f t="shared" si="0"/>
        <v>0</v>
      </c>
      <c r="I55" s="16">
        <f t="shared" si="2"/>
        <v>1.6405714285714286</v>
      </c>
      <c r="J55" s="16">
        <f t="shared" si="4"/>
        <v>-5.7900669446773891E-2</v>
      </c>
      <c r="K55" s="16">
        <f t="shared" si="1"/>
        <v>1.5826707591246547</v>
      </c>
      <c r="M55" s="13" t="s">
        <v>71</v>
      </c>
    </row>
    <row r="56" spans="1:13" x14ac:dyDescent="0.25">
      <c r="A56" s="1">
        <v>15</v>
      </c>
      <c r="B56" s="33"/>
      <c r="C56" s="66">
        <v>43441369</v>
      </c>
      <c r="D56" s="124">
        <v>50.9</v>
      </c>
      <c r="E56" s="5">
        <v>36.854999999999997</v>
      </c>
      <c r="F56" s="5">
        <v>37.716999999999999</v>
      </c>
      <c r="G56" s="5"/>
      <c r="H56" s="16">
        <f t="shared" si="0"/>
        <v>0</v>
      </c>
      <c r="I56" s="16">
        <f t="shared" si="2"/>
        <v>1.3088571428571427</v>
      </c>
      <c r="J56" s="16">
        <f t="shared" si="4"/>
        <v>-4.6193480796877601E-2</v>
      </c>
      <c r="K56" s="16">
        <f t="shared" si="1"/>
        <v>1.2626636620602651</v>
      </c>
      <c r="M56" s="13" t="s">
        <v>71</v>
      </c>
    </row>
    <row r="57" spans="1:13" x14ac:dyDescent="0.25">
      <c r="A57" s="1">
        <v>16</v>
      </c>
      <c r="B57" s="47">
        <v>45900</v>
      </c>
      <c r="C57" s="66">
        <v>43441375</v>
      </c>
      <c r="D57" s="124">
        <v>52.4</v>
      </c>
      <c r="E57" s="5">
        <v>27.451000000000001</v>
      </c>
      <c r="F57" s="5">
        <v>27.712</v>
      </c>
      <c r="G57" s="5">
        <f>F57-E57</f>
        <v>0.26099999999999923</v>
      </c>
      <c r="H57" s="16">
        <f t="shared" si="0"/>
        <v>0.22440779999999935</v>
      </c>
      <c r="I57" s="16"/>
      <c r="J57" s="16"/>
      <c r="K57" s="16">
        <f t="shared" si="1"/>
        <v>0.22440779999999935</v>
      </c>
      <c r="M57" s="13" t="s">
        <v>69</v>
      </c>
    </row>
    <row r="58" spans="1:13" x14ac:dyDescent="0.25">
      <c r="A58" s="1">
        <v>17</v>
      </c>
      <c r="B58" s="47">
        <v>45595</v>
      </c>
      <c r="C58" s="66">
        <v>43441376</v>
      </c>
      <c r="D58" s="124">
        <v>53.3</v>
      </c>
      <c r="E58" s="5">
        <v>46.981000000000002</v>
      </c>
      <c r="F58" s="5">
        <v>48.698999999999998</v>
      </c>
      <c r="G58" s="5">
        <f>F58-E58</f>
        <v>1.7179999999999964</v>
      </c>
      <c r="H58" s="16">
        <f>G58*0.8598</f>
        <v>1.4771363999999969</v>
      </c>
      <c r="I58" s="16"/>
      <c r="J58" s="16"/>
      <c r="K58" s="16">
        <f t="shared" si="1"/>
        <v>1.4771363999999969</v>
      </c>
      <c r="M58" s="13" t="s">
        <v>69</v>
      </c>
    </row>
    <row r="59" spans="1:13" ht="15.75" customHeight="1" x14ac:dyDescent="0.25">
      <c r="A59" s="1">
        <v>18</v>
      </c>
      <c r="B59" s="47">
        <v>45700</v>
      </c>
      <c r="C59" s="66">
        <v>43441361</v>
      </c>
      <c r="D59" s="124">
        <v>100.6</v>
      </c>
      <c r="E59" s="5">
        <v>4.9770000000000003</v>
      </c>
      <c r="F59" s="5">
        <v>5.0010000000000003</v>
      </c>
      <c r="G59" s="5">
        <f>F59-E59</f>
        <v>2.4000000000000021E-2</v>
      </c>
      <c r="H59" s="16">
        <f t="shared" si="0"/>
        <v>2.063520000000002E-2</v>
      </c>
      <c r="I59" s="16"/>
      <c r="J59" s="16"/>
      <c r="K59" s="16">
        <f>H59+I59+J59</f>
        <v>2.063520000000002E-2</v>
      </c>
      <c r="M59" s="13" t="s">
        <v>69</v>
      </c>
    </row>
    <row r="60" spans="1:13" x14ac:dyDescent="0.25">
      <c r="A60" s="1">
        <v>19</v>
      </c>
      <c r="B60" s="47">
        <v>45767</v>
      </c>
      <c r="C60" s="66">
        <v>43441266</v>
      </c>
      <c r="D60" s="124">
        <v>112.4</v>
      </c>
      <c r="E60" s="5">
        <v>44.478999999999999</v>
      </c>
      <c r="F60" s="5">
        <v>45.948</v>
      </c>
      <c r="G60" s="5">
        <f>F60-E60</f>
        <v>1.4690000000000012</v>
      </c>
      <c r="H60" s="16">
        <f t="shared" si="0"/>
        <v>1.2630462000000011</v>
      </c>
      <c r="I60" s="16"/>
      <c r="J60" s="16"/>
      <c r="K60" s="16">
        <f t="shared" ref="K60:K114" si="5">H60+I60+J60</f>
        <v>1.2630462000000011</v>
      </c>
      <c r="M60" s="13" t="s">
        <v>69</v>
      </c>
    </row>
    <row r="61" spans="1:13" x14ac:dyDescent="0.25">
      <c r="A61" s="1">
        <v>20</v>
      </c>
      <c r="B61" s="47">
        <v>45955</v>
      </c>
      <c r="C61" s="66" t="s">
        <v>107</v>
      </c>
      <c r="D61" s="124">
        <v>63</v>
      </c>
      <c r="E61" s="39">
        <v>1.2494000000000001</v>
      </c>
      <c r="F61" s="39">
        <v>1.6351</v>
      </c>
      <c r="G61" s="5"/>
      <c r="H61" s="16">
        <f>F61-E61</f>
        <v>0.38569999999999993</v>
      </c>
      <c r="I61" s="16"/>
      <c r="J61" s="16"/>
      <c r="K61" s="16">
        <f t="shared" si="5"/>
        <v>0.38569999999999993</v>
      </c>
      <c r="M61" s="13" t="s">
        <v>69</v>
      </c>
    </row>
    <row r="62" spans="1:13" x14ac:dyDescent="0.25">
      <c r="A62" s="1">
        <v>21</v>
      </c>
      <c r="B62" s="33"/>
      <c r="C62" s="66">
        <v>43441274</v>
      </c>
      <c r="D62" s="124">
        <v>50.5</v>
      </c>
      <c r="E62" s="5">
        <v>32.027000000000001</v>
      </c>
      <c r="F62" s="5">
        <v>33.417999999999999</v>
      </c>
      <c r="G62" s="5"/>
      <c r="H62" s="16">
        <f t="shared" si="0"/>
        <v>0</v>
      </c>
      <c r="I62" s="16">
        <f>((D62*0.015)*12)/7</f>
        <v>1.2985714285714285</v>
      </c>
      <c r="J62" s="16">
        <f>D62/($E$11-$E$13)*$J$10</f>
        <v>-4.5830467195330432E-2</v>
      </c>
      <c r="K62" s="16">
        <f t="shared" si="5"/>
        <v>1.252740961376098</v>
      </c>
      <c r="M62" s="13" t="s">
        <v>71</v>
      </c>
    </row>
    <row r="63" spans="1:13" x14ac:dyDescent="0.25">
      <c r="A63" s="1">
        <v>22</v>
      </c>
      <c r="B63" s="48">
        <v>45734</v>
      </c>
      <c r="C63" s="66">
        <v>43441273</v>
      </c>
      <c r="D63" s="124">
        <v>52.4</v>
      </c>
      <c r="E63" s="5">
        <v>30.872</v>
      </c>
      <c r="F63" s="5">
        <v>31.997</v>
      </c>
      <c r="G63" s="5">
        <f>F63-E63</f>
        <v>1.125</v>
      </c>
      <c r="H63" s="16">
        <f t="shared" si="0"/>
        <v>0.967275</v>
      </c>
      <c r="I63" s="16"/>
      <c r="J63" s="16"/>
      <c r="K63" s="16">
        <f t="shared" si="5"/>
        <v>0.967275</v>
      </c>
      <c r="M63" s="13" t="s">
        <v>69</v>
      </c>
    </row>
    <row r="64" spans="1:13" x14ac:dyDescent="0.25">
      <c r="A64" s="1">
        <v>23</v>
      </c>
      <c r="B64" s="47">
        <v>45774</v>
      </c>
      <c r="C64" s="66">
        <v>43441371</v>
      </c>
      <c r="D64" s="124">
        <v>53.1</v>
      </c>
      <c r="E64" s="5">
        <v>11.929</v>
      </c>
      <c r="F64" s="5">
        <v>11.95</v>
      </c>
      <c r="G64" s="5">
        <f>F64-E64</f>
        <v>2.0999999999999019E-2</v>
      </c>
      <c r="H64" s="16">
        <f t="shared" si="0"/>
        <v>1.8055799999999157E-2</v>
      </c>
      <c r="I64" s="16"/>
      <c r="J64" s="16"/>
      <c r="K64" s="16">
        <f t="shared" si="5"/>
        <v>1.8055799999999157E-2</v>
      </c>
      <c r="M64" s="13" t="s">
        <v>69</v>
      </c>
    </row>
    <row r="65" spans="1:13" x14ac:dyDescent="0.25">
      <c r="A65" s="1">
        <v>24</v>
      </c>
      <c r="B65" s="33"/>
      <c r="C65" s="66">
        <v>43441374</v>
      </c>
      <c r="D65" s="124">
        <v>100.7</v>
      </c>
      <c r="E65" s="5">
        <v>74.899000000000001</v>
      </c>
      <c r="F65" s="5">
        <v>76.787000000000006</v>
      </c>
      <c r="G65" s="5"/>
      <c r="H65" s="16">
        <f t="shared" si="0"/>
        <v>0</v>
      </c>
      <c r="I65" s="16">
        <f>((D65*0.015)*12)/7</f>
        <v>2.589428571428571</v>
      </c>
      <c r="J65" s="16">
        <f>D65/($E$11-$E$13)*$J$10</f>
        <v>-9.1388674189500488E-2</v>
      </c>
      <c r="K65" s="16">
        <f t="shared" si="5"/>
        <v>2.4980398972390705</v>
      </c>
      <c r="M65" s="13" t="s">
        <v>71</v>
      </c>
    </row>
    <row r="66" spans="1:13" x14ac:dyDescent="0.25">
      <c r="A66" s="1">
        <v>25</v>
      </c>
      <c r="B66" s="33" t="s">
        <v>100</v>
      </c>
      <c r="C66" s="66">
        <v>43441275</v>
      </c>
      <c r="D66" s="124">
        <v>112.5</v>
      </c>
      <c r="E66" s="5">
        <v>58.786999999999999</v>
      </c>
      <c r="F66" s="5">
        <v>60.286999999999999</v>
      </c>
      <c r="G66" s="5">
        <f>F66-E66</f>
        <v>1.5</v>
      </c>
      <c r="H66" s="16">
        <f t="shared" si="0"/>
        <v>1.2897000000000001</v>
      </c>
      <c r="I66" s="16"/>
      <c r="J66" s="16"/>
      <c r="K66" s="16">
        <f t="shared" si="5"/>
        <v>1.2897000000000001</v>
      </c>
      <c r="M66" s="13" t="s">
        <v>69</v>
      </c>
    </row>
    <row r="67" spans="1:13" x14ac:dyDescent="0.25">
      <c r="A67" s="1">
        <v>26</v>
      </c>
      <c r="B67" s="47">
        <v>45803</v>
      </c>
      <c r="C67" s="66">
        <v>43441269</v>
      </c>
      <c r="D67" s="124">
        <v>62.5</v>
      </c>
      <c r="E67" s="5">
        <v>14.089</v>
      </c>
      <c r="F67" s="5">
        <v>14.089</v>
      </c>
      <c r="G67" s="5">
        <f>F67-E67</f>
        <v>0</v>
      </c>
      <c r="H67" s="16">
        <f t="shared" si="0"/>
        <v>0</v>
      </c>
      <c r="I67" s="16"/>
      <c r="J67" s="16"/>
      <c r="K67" s="16">
        <f t="shared" si="5"/>
        <v>0</v>
      </c>
      <c r="M67" s="13" t="s">
        <v>69</v>
      </c>
    </row>
    <row r="68" spans="1:13" x14ac:dyDescent="0.25">
      <c r="A68" s="1">
        <v>27</v>
      </c>
      <c r="B68" s="47">
        <v>45725</v>
      </c>
      <c r="C68" s="66">
        <v>43441270</v>
      </c>
      <c r="D68" s="124">
        <v>51.2</v>
      </c>
      <c r="E68" s="5">
        <v>1.2430000000000001</v>
      </c>
      <c r="F68" s="5">
        <v>1.244</v>
      </c>
      <c r="G68" s="28">
        <f>F68-E68</f>
        <v>9.9999999999988987E-4</v>
      </c>
      <c r="H68" s="16">
        <f>G68*0.8598</f>
        <v>8.5979999999990532E-4</v>
      </c>
      <c r="I68" s="16"/>
      <c r="J68" s="16"/>
      <c r="K68" s="16">
        <f t="shared" si="5"/>
        <v>8.5979999999990532E-4</v>
      </c>
      <c r="M68" s="13" t="s">
        <v>69</v>
      </c>
    </row>
    <row r="69" spans="1:13" x14ac:dyDescent="0.25">
      <c r="A69" s="1">
        <v>28</v>
      </c>
      <c r="B69" s="33"/>
      <c r="C69" s="66">
        <v>43441264</v>
      </c>
      <c r="D69" s="124">
        <v>52.5</v>
      </c>
      <c r="E69" s="5">
        <v>21.802</v>
      </c>
      <c r="F69" s="5">
        <v>22.911999999999999</v>
      </c>
      <c r="G69" s="5"/>
      <c r="H69" s="16">
        <f t="shared" si="0"/>
        <v>0</v>
      </c>
      <c r="I69" s="16">
        <f>((D69*0.015)*12)/7</f>
        <v>1.3499999999999999</v>
      </c>
      <c r="J69" s="16">
        <f>D69/($E$11-$E$13)*$J$10</f>
        <v>-4.7645535203066296E-2</v>
      </c>
      <c r="K69" s="16">
        <f t="shared" si="5"/>
        <v>1.3023544647969336</v>
      </c>
      <c r="M69" s="13" t="s">
        <v>71</v>
      </c>
    </row>
    <row r="70" spans="1:13" x14ac:dyDescent="0.25">
      <c r="A70" s="1">
        <v>29</v>
      </c>
      <c r="B70" s="47">
        <v>45718</v>
      </c>
      <c r="C70" s="66">
        <v>43441272</v>
      </c>
      <c r="D70" s="124">
        <v>52.8</v>
      </c>
      <c r="E70" s="5">
        <v>22.670999999999999</v>
      </c>
      <c r="F70" s="5">
        <v>23.100999999999999</v>
      </c>
      <c r="G70" s="28">
        <f>F70-E70</f>
        <v>0.42999999999999972</v>
      </c>
      <c r="H70" s="16">
        <f t="shared" si="0"/>
        <v>0.36971399999999977</v>
      </c>
      <c r="I70" s="16"/>
      <c r="J70" s="16"/>
      <c r="K70" s="16">
        <f t="shared" si="5"/>
        <v>0.36971399999999977</v>
      </c>
      <c r="M70" s="13" t="s">
        <v>69</v>
      </c>
    </row>
    <row r="71" spans="1:13" x14ac:dyDescent="0.25">
      <c r="A71" s="1">
        <v>30</v>
      </c>
      <c r="B71" s="48">
        <v>45734</v>
      </c>
      <c r="C71" s="66">
        <v>43441265</v>
      </c>
      <c r="D71" s="124">
        <v>101.4</v>
      </c>
      <c r="E71" s="5">
        <v>35.834000000000003</v>
      </c>
      <c r="F71" s="5">
        <v>36.375999999999998</v>
      </c>
      <c r="G71" s="28">
        <f>F71-E71</f>
        <v>0.54199999999999449</v>
      </c>
      <c r="H71" s="16">
        <f t="shared" si="0"/>
        <v>0.46601159999999525</v>
      </c>
      <c r="I71" s="16"/>
      <c r="J71" s="16"/>
      <c r="K71" s="16">
        <f t="shared" si="5"/>
        <v>0.46601159999999525</v>
      </c>
      <c r="M71" s="13" t="s">
        <v>69</v>
      </c>
    </row>
    <row r="72" spans="1:13" x14ac:dyDescent="0.25">
      <c r="A72" s="1">
        <v>31</v>
      </c>
      <c r="B72" s="33"/>
      <c r="C72" s="66">
        <v>43441277</v>
      </c>
      <c r="D72" s="124">
        <v>112.5</v>
      </c>
      <c r="E72" s="5">
        <v>77.033000000000001</v>
      </c>
      <c r="F72" s="5">
        <v>79.241</v>
      </c>
      <c r="G72" s="5"/>
      <c r="H72" s="16">
        <f t="shared" si="0"/>
        <v>0</v>
      </c>
      <c r="I72" s="16">
        <f>((D72*0.015)*12)/7</f>
        <v>2.8928571428571428</v>
      </c>
      <c r="J72" s="16">
        <f>D72/($E$11-$E$13)*$J$10</f>
        <v>-0.10209757543514206</v>
      </c>
      <c r="K72" s="16">
        <f t="shared" si="5"/>
        <v>2.7907595674220009</v>
      </c>
      <c r="M72" s="13" t="s">
        <v>71</v>
      </c>
    </row>
    <row r="73" spans="1:13" x14ac:dyDescent="0.25">
      <c r="A73" s="1">
        <v>32</v>
      </c>
      <c r="B73" s="47">
        <v>45923</v>
      </c>
      <c r="C73" s="66">
        <v>43441276</v>
      </c>
      <c r="D73" s="124">
        <v>63.1</v>
      </c>
      <c r="E73" s="5">
        <v>49.752000000000002</v>
      </c>
      <c r="F73" s="5">
        <v>50.578000000000003</v>
      </c>
      <c r="G73" s="28">
        <f>F73-E73</f>
        <v>0.82600000000000051</v>
      </c>
      <c r="H73" s="16">
        <f t="shared" si="0"/>
        <v>0.71019480000000046</v>
      </c>
      <c r="I73" s="16"/>
      <c r="J73" s="16"/>
      <c r="K73" s="16">
        <f t="shared" si="5"/>
        <v>0.71019480000000046</v>
      </c>
      <c r="M73" s="13" t="s">
        <v>69</v>
      </c>
    </row>
    <row r="74" spans="1:13" x14ac:dyDescent="0.25">
      <c r="A74" s="1">
        <v>33</v>
      </c>
      <c r="B74" s="47">
        <v>45865</v>
      </c>
      <c r="C74" s="66">
        <v>43441279</v>
      </c>
      <c r="D74" s="124">
        <v>50.9</v>
      </c>
      <c r="E74" s="5">
        <v>46.54</v>
      </c>
      <c r="F74" s="5">
        <v>47.848999999999997</v>
      </c>
      <c r="G74" s="28">
        <f>F74-E74</f>
        <v>1.3089999999999975</v>
      </c>
      <c r="H74" s="16">
        <f t="shared" si="0"/>
        <v>1.1254781999999979</v>
      </c>
      <c r="I74" s="16"/>
      <c r="J74" s="16"/>
      <c r="K74" s="16">
        <f t="shared" si="5"/>
        <v>1.1254781999999979</v>
      </c>
      <c r="M74" s="13" t="s">
        <v>69</v>
      </c>
    </row>
    <row r="75" spans="1:13" x14ac:dyDescent="0.25">
      <c r="A75" s="1">
        <v>34</v>
      </c>
      <c r="B75" s="33"/>
      <c r="C75" s="66">
        <v>43441281</v>
      </c>
      <c r="D75" s="124">
        <v>52.2</v>
      </c>
      <c r="E75" s="5">
        <v>37.378</v>
      </c>
      <c r="F75" s="5">
        <v>38.22</v>
      </c>
      <c r="G75" s="5"/>
      <c r="H75" s="16">
        <f t="shared" si="0"/>
        <v>0</v>
      </c>
      <c r="I75" s="16">
        <f>((D75*0.015)*12)/7</f>
        <v>1.3422857142857143</v>
      </c>
      <c r="J75" s="16">
        <f t="shared" ref="J75:J77" si="6">D75/($E$11-$E$13)*$J$10</f>
        <v>-4.7373275001905912E-2</v>
      </c>
      <c r="K75" s="16">
        <f t="shared" si="5"/>
        <v>1.2949124392838085</v>
      </c>
      <c r="M75" s="13" t="s">
        <v>71</v>
      </c>
    </row>
    <row r="76" spans="1:13" x14ac:dyDescent="0.25">
      <c r="A76" s="1">
        <v>35</v>
      </c>
      <c r="B76" s="33"/>
      <c r="C76" s="66">
        <v>43441282</v>
      </c>
      <c r="D76" s="124">
        <v>53</v>
      </c>
      <c r="E76" s="5">
        <v>38.962000000000003</v>
      </c>
      <c r="F76" s="5">
        <v>40.219000000000001</v>
      </c>
      <c r="G76" s="5"/>
      <c r="H76" s="16">
        <f t="shared" si="0"/>
        <v>0</v>
      </c>
      <c r="I76" s="16">
        <f>((D76*0.015)*12)/7</f>
        <v>1.3628571428571428</v>
      </c>
      <c r="J76" s="16">
        <f t="shared" si="6"/>
        <v>-4.8099302205000249E-2</v>
      </c>
      <c r="K76" s="16">
        <f t="shared" si="5"/>
        <v>1.3147578406521425</v>
      </c>
      <c r="M76" s="13" t="s">
        <v>71</v>
      </c>
    </row>
    <row r="77" spans="1:13" x14ac:dyDescent="0.25">
      <c r="A77" s="1">
        <v>36</v>
      </c>
      <c r="B77" s="33"/>
      <c r="C77" s="66">
        <v>43441280</v>
      </c>
      <c r="D77" s="124">
        <v>103.1</v>
      </c>
      <c r="E77" s="5">
        <v>64.301000000000002</v>
      </c>
      <c r="F77" s="5">
        <v>66.578999999999994</v>
      </c>
      <c r="G77" s="5"/>
      <c r="H77" s="16">
        <f t="shared" si="0"/>
        <v>0</v>
      </c>
      <c r="I77" s="16">
        <f>((D77*0.015)*12)/7</f>
        <v>2.6511428571428568</v>
      </c>
      <c r="J77" s="16">
        <f t="shared" si="6"/>
        <v>-9.3566755798783513E-2</v>
      </c>
      <c r="K77" s="16">
        <f t="shared" si="5"/>
        <v>2.5575761013440732</v>
      </c>
      <c r="M77" s="13" t="s">
        <v>71</v>
      </c>
    </row>
    <row r="78" spans="1:13" x14ac:dyDescent="0.25">
      <c r="A78" s="1">
        <v>37</v>
      </c>
      <c r="B78" s="47">
        <v>46651</v>
      </c>
      <c r="C78" s="10" t="s">
        <v>101</v>
      </c>
      <c r="D78" s="124">
        <v>112.4</v>
      </c>
      <c r="E78" s="5">
        <v>7.1130000000000004</v>
      </c>
      <c r="F78" s="5">
        <v>7.9859999999999998</v>
      </c>
      <c r="G78" s="5"/>
      <c r="H78" s="16">
        <f>F78-E78</f>
        <v>0.87299999999999933</v>
      </c>
      <c r="I78" s="16"/>
      <c r="J78" s="16"/>
      <c r="K78" s="16">
        <f t="shared" si="5"/>
        <v>0.87299999999999933</v>
      </c>
      <c r="M78" s="13" t="s">
        <v>69</v>
      </c>
    </row>
    <row r="79" spans="1:13" x14ac:dyDescent="0.25">
      <c r="A79" s="1">
        <v>38</v>
      </c>
      <c r="B79" s="47">
        <v>45946</v>
      </c>
      <c r="C79" s="66">
        <v>43441344</v>
      </c>
      <c r="D79" s="124">
        <v>62.8</v>
      </c>
      <c r="E79" s="5">
        <v>31.044</v>
      </c>
      <c r="F79" s="5">
        <v>32.112000000000002</v>
      </c>
      <c r="G79" s="28">
        <f>F79-E79</f>
        <v>1.0680000000000014</v>
      </c>
      <c r="H79" s="16">
        <f t="shared" si="0"/>
        <v>0.91826640000000126</v>
      </c>
      <c r="I79" s="16"/>
      <c r="J79" s="16"/>
      <c r="K79" s="16">
        <f t="shared" si="5"/>
        <v>0.91826640000000126</v>
      </c>
      <c r="M79" s="13" t="s">
        <v>69</v>
      </c>
    </row>
    <row r="80" spans="1:13" x14ac:dyDescent="0.25">
      <c r="A80" s="1">
        <v>39</v>
      </c>
      <c r="B80" s="33"/>
      <c r="C80" s="66">
        <v>43441341</v>
      </c>
      <c r="D80" s="125">
        <v>50.5</v>
      </c>
      <c r="E80" s="5">
        <v>8.0489999999999995</v>
      </c>
      <c r="F80" s="5">
        <v>9.234</v>
      </c>
      <c r="G80" s="28"/>
      <c r="H80" s="16">
        <f t="shared" si="0"/>
        <v>0</v>
      </c>
      <c r="I80" s="16">
        <f>((D80*0.015)*12)/7</f>
        <v>1.2985714285714285</v>
      </c>
      <c r="J80" s="16">
        <f>D80/($E$11-$E$13)*$J$10</f>
        <v>-4.5830467195330432E-2</v>
      </c>
      <c r="K80" s="16">
        <f t="shared" si="5"/>
        <v>1.252740961376098</v>
      </c>
      <c r="M80" s="13" t="s">
        <v>71</v>
      </c>
    </row>
    <row r="81" spans="1:14" x14ac:dyDescent="0.25">
      <c r="A81" s="1">
        <v>40</v>
      </c>
      <c r="B81" s="47">
        <v>45594</v>
      </c>
      <c r="C81" s="10" t="s">
        <v>72</v>
      </c>
      <c r="D81" s="125">
        <v>52.3</v>
      </c>
      <c r="E81" s="39">
        <v>1.6006</v>
      </c>
      <c r="F81" s="39">
        <v>1.7085999999999999</v>
      </c>
      <c r="G81" s="58"/>
      <c r="H81" s="16">
        <f>F81-E81</f>
        <v>0.10799999999999987</v>
      </c>
      <c r="I81" s="16"/>
      <c r="J81" s="16"/>
      <c r="K81" s="16">
        <f t="shared" si="5"/>
        <v>0.10799999999999987</v>
      </c>
      <c r="M81" s="13" t="s">
        <v>69</v>
      </c>
    </row>
    <row r="82" spans="1:14" x14ac:dyDescent="0.25">
      <c r="A82" s="1">
        <v>41</v>
      </c>
      <c r="B82" s="47">
        <v>45573</v>
      </c>
      <c r="C82" s="66">
        <v>43441283</v>
      </c>
      <c r="D82" s="125">
        <v>53</v>
      </c>
      <c r="E82" s="5">
        <v>15.15</v>
      </c>
      <c r="F82" s="5">
        <v>15.311999999999999</v>
      </c>
      <c r="G82" s="28">
        <f>F82-E82</f>
        <v>0.16199999999999903</v>
      </c>
      <c r="H82" s="16">
        <f t="shared" si="0"/>
        <v>0.13928759999999918</v>
      </c>
      <c r="I82" s="16"/>
      <c r="J82" s="16"/>
      <c r="K82" s="16">
        <f t="shared" si="5"/>
        <v>0.13928759999999918</v>
      </c>
      <c r="M82" s="13" t="s">
        <v>69</v>
      </c>
    </row>
    <row r="83" spans="1:14" x14ac:dyDescent="0.25">
      <c r="A83" s="1">
        <v>42</v>
      </c>
      <c r="B83" s="47">
        <v>45459</v>
      </c>
      <c r="C83" s="10" t="s">
        <v>57</v>
      </c>
      <c r="D83" s="125">
        <v>100.1</v>
      </c>
      <c r="E83" s="39">
        <v>10.829000000000001</v>
      </c>
      <c r="F83" s="39">
        <v>12.061</v>
      </c>
      <c r="G83" s="58"/>
      <c r="H83" s="16">
        <f>F83-E83</f>
        <v>1.2319999999999993</v>
      </c>
      <c r="I83" s="16"/>
      <c r="J83" s="16"/>
      <c r="K83" s="16">
        <f t="shared" si="5"/>
        <v>1.2319999999999993</v>
      </c>
      <c r="M83" s="13" t="s">
        <v>69</v>
      </c>
    </row>
    <row r="84" spans="1:14" x14ac:dyDescent="0.25">
      <c r="A84" s="1">
        <v>43</v>
      </c>
      <c r="B84" s="48">
        <v>45866</v>
      </c>
      <c r="C84" s="66">
        <v>43441342</v>
      </c>
      <c r="D84" s="125">
        <v>69.3</v>
      </c>
      <c r="E84" s="5">
        <v>8.3390000000000004</v>
      </c>
      <c r="F84" s="5">
        <v>8.3390000000000004</v>
      </c>
      <c r="G84" s="28">
        <f>F84-E84</f>
        <v>0</v>
      </c>
      <c r="H84" s="16">
        <f t="shared" si="0"/>
        <v>0</v>
      </c>
      <c r="I84" s="16"/>
      <c r="J84" s="16"/>
      <c r="K84" s="16">
        <f t="shared" si="5"/>
        <v>0</v>
      </c>
      <c r="M84" s="13" t="s">
        <v>69</v>
      </c>
    </row>
    <row r="85" spans="1:14" x14ac:dyDescent="0.25">
      <c r="A85" s="1">
        <v>44</v>
      </c>
      <c r="B85" s="47">
        <v>45747</v>
      </c>
      <c r="C85" s="66">
        <v>43441345</v>
      </c>
      <c r="D85" s="125">
        <v>53.3</v>
      </c>
      <c r="E85" s="5">
        <v>19.036000000000001</v>
      </c>
      <c r="F85" s="5">
        <v>19.036000000000001</v>
      </c>
      <c r="G85" s="28">
        <f>F85-E85</f>
        <v>0</v>
      </c>
      <c r="H85" s="16">
        <f t="shared" si="0"/>
        <v>0</v>
      </c>
      <c r="I85" s="16"/>
      <c r="J85" s="16"/>
      <c r="K85" s="16">
        <f t="shared" si="5"/>
        <v>0</v>
      </c>
      <c r="M85" s="13" t="s">
        <v>69</v>
      </c>
    </row>
    <row r="86" spans="1:14" x14ac:dyDescent="0.25">
      <c r="A86" s="1">
        <v>45</v>
      </c>
      <c r="B86" s="33"/>
      <c r="C86" s="66">
        <v>43441348</v>
      </c>
      <c r="D86" s="125">
        <v>52.9</v>
      </c>
      <c r="E86" s="5">
        <v>55.771000000000001</v>
      </c>
      <c r="F86" s="5">
        <v>57.167999999999999</v>
      </c>
      <c r="G86" s="28"/>
      <c r="H86" s="16">
        <f t="shared" si="0"/>
        <v>0</v>
      </c>
      <c r="I86" s="16">
        <f>((D86*0.015)*12)/7</f>
        <v>1.3602857142857143</v>
      </c>
      <c r="J86" s="16">
        <f>D86/($E$11-$E$13)*$J$10</f>
        <v>-4.8008548804613457E-2</v>
      </c>
      <c r="K86" s="16">
        <f t="shared" si="5"/>
        <v>1.312277165481101</v>
      </c>
      <c r="M86" s="13" t="s">
        <v>71</v>
      </c>
    </row>
    <row r="87" spans="1:14" x14ac:dyDescent="0.25">
      <c r="A87" s="1">
        <v>46</v>
      </c>
      <c r="B87" s="52">
        <v>45866</v>
      </c>
      <c r="C87" s="66">
        <v>43441349</v>
      </c>
      <c r="D87" s="124">
        <v>100.9</v>
      </c>
      <c r="E87" s="5">
        <v>25.016999999999999</v>
      </c>
      <c r="F87" s="5">
        <v>25.061</v>
      </c>
      <c r="G87" s="5">
        <f>F87-E87</f>
        <v>4.4000000000000483E-2</v>
      </c>
      <c r="H87" s="16">
        <f t="shared" si="0"/>
        <v>3.7831200000000419E-2</v>
      </c>
      <c r="I87" s="16"/>
      <c r="J87" s="16"/>
      <c r="K87" s="16">
        <f t="shared" si="5"/>
        <v>3.7831200000000419E-2</v>
      </c>
      <c r="M87" s="13" t="s">
        <v>69</v>
      </c>
    </row>
    <row r="88" spans="1:14" x14ac:dyDescent="0.25">
      <c r="A88" s="1">
        <v>47</v>
      </c>
      <c r="B88" s="47">
        <v>45459</v>
      </c>
      <c r="C88" s="66" t="s">
        <v>108</v>
      </c>
      <c r="D88" s="124">
        <v>85.4</v>
      </c>
      <c r="E88" s="39">
        <v>1.7787999999999999</v>
      </c>
      <c r="F88" s="39">
        <v>1.7787999999999999</v>
      </c>
      <c r="G88" s="5"/>
      <c r="H88" s="16">
        <f>F88-E88</f>
        <v>0</v>
      </c>
      <c r="I88" s="16"/>
      <c r="J88" s="16"/>
      <c r="K88" s="16">
        <f t="shared" si="5"/>
        <v>0</v>
      </c>
      <c r="M88" s="13" t="s">
        <v>69</v>
      </c>
      <c r="N88" s="12"/>
    </row>
    <row r="89" spans="1:14" x14ac:dyDescent="0.25">
      <c r="A89" s="1">
        <v>48</v>
      </c>
      <c r="B89" s="48">
        <v>45769</v>
      </c>
      <c r="C89" s="66">
        <v>43441356</v>
      </c>
      <c r="D89" s="124">
        <v>53.2</v>
      </c>
      <c r="E89" s="5">
        <v>42.127000000000002</v>
      </c>
      <c r="F89" s="5">
        <v>43.783999999999999</v>
      </c>
      <c r="G89" s="5">
        <f>F89-E89</f>
        <v>1.6569999999999965</v>
      </c>
      <c r="H89" s="16">
        <f>G89*0.8598</f>
        <v>1.424688599999997</v>
      </c>
      <c r="I89" s="16"/>
      <c r="J89" s="16"/>
      <c r="K89" s="16">
        <f t="shared" si="5"/>
        <v>1.424688599999997</v>
      </c>
      <c r="M89" s="13" t="s">
        <v>69</v>
      </c>
    </row>
    <row r="90" spans="1:14" x14ac:dyDescent="0.25">
      <c r="A90" s="1">
        <v>49</v>
      </c>
      <c r="B90" s="47">
        <v>45607</v>
      </c>
      <c r="C90" s="66">
        <v>43441343</v>
      </c>
      <c r="D90" s="124">
        <v>53.3</v>
      </c>
      <c r="E90" s="5">
        <v>16.396999999999998</v>
      </c>
      <c r="F90" s="5">
        <v>17.286999999999999</v>
      </c>
      <c r="G90" s="5">
        <f>F90-E90</f>
        <v>0.89000000000000057</v>
      </c>
      <c r="H90" s="16">
        <f t="shared" si="0"/>
        <v>0.76522200000000051</v>
      </c>
      <c r="I90" s="16"/>
      <c r="J90" s="16"/>
      <c r="K90" s="16">
        <f t="shared" si="5"/>
        <v>0.76522200000000051</v>
      </c>
      <c r="L90" s="24"/>
      <c r="M90" s="13" t="s">
        <v>69</v>
      </c>
    </row>
    <row r="91" spans="1:14" x14ac:dyDescent="0.25">
      <c r="A91" s="1">
        <v>50</v>
      </c>
      <c r="B91" s="52">
        <v>45846</v>
      </c>
      <c r="C91" s="66">
        <v>43441352</v>
      </c>
      <c r="D91" s="124">
        <v>99.5</v>
      </c>
      <c r="E91" s="5">
        <v>79.182000000000002</v>
      </c>
      <c r="F91" s="5">
        <v>80.867000000000004</v>
      </c>
      <c r="G91" s="5">
        <f>F91-E91</f>
        <v>1.6850000000000023</v>
      </c>
      <c r="H91" s="16">
        <f>G91*0.8598</f>
        <v>1.448763000000002</v>
      </c>
      <c r="I91" s="16"/>
      <c r="J91" s="16"/>
      <c r="K91" s="16">
        <f t="shared" si="5"/>
        <v>1.448763000000002</v>
      </c>
      <c r="L91" s="24"/>
      <c r="M91" s="13" t="s">
        <v>69</v>
      </c>
    </row>
    <row r="92" spans="1:14" x14ac:dyDescent="0.25">
      <c r="A92" s="1">
        <v>51</v>
      </c>
      <c r="B92" s="38"/>
      <c r="C92" s="66">
        <v>43441357</v>
      </c>
      <c r="D92" s="124">
        <v>84.8</v>
      </c>
      <c r="E92" s="5">
        <v>90.488</v>
      </c>
      <c r="F92" s="5">
        <v>90.488</v>
      </c>
      <c r="G92" s="5"/>
      <c r="H92" s="16">
        <f t="shared" si="0"/>
        <v>0</v>
      </c>
      <c r="I92" s="16">
        <f>((D92*0.015)*12)/7</f>
        <v>2.1805714285714286</v>
      </c>
      <c r="J92" s="16">
        <f t="shared" ref="J92:J93" si="7">D92/($E$11-$E$13)*$J$10</f>
        <v>-7.6958883528000399E-2</v>
      </c>
      <c r="K92" s="16">
        <f t="shared" si="5"/>
        <v>2.1036125450434282</v>
      </c>
      <c r="L92" s="24"/>
      <c r="M92" s="13" t="s">
        <v>71</v>
      </c>
    </row>
    <row r="93" spans="1:14" x14ac:dyDescent="0.25">
      <c r="A93" s="1">
        <v>52</v>
      </c>
      <c r="B93" s="38"/>
      <c r="C93" s="66">
        <v>43441355</v>
      </c>
      <c r="D93" s="124">
        <v>52.9</v>
      </c>
      <c r="E93" s="5">
        <v>44.957000000000001</v>
      </c>
      <c r="F93" s="5">
        <v>46.182000000000002</v>
      </c>
      <c r="G93" s="5"/>
      <c r="H93" s="16">
        <f>G93*0.8598</f>
        <v>0</v>
      </c>
      <c r="I93" s="16">
        <f>((D93*0.015)*12)/7</f>
        <v>1.3602857142857143</v>
      </c>
      <c r="J93" s="16">
        <f t="shared" si="7"/>
        <v>-4.8008548804613457E-2</v>
      </c>
      <c r="K93" s="16">
        <f t="shared" si="5"/>
        <v>1.312277165481101</v>
      </c>
      <c r="L93" s="24"/>
      <c r="M93" s="13" t="s">
        <v>71</v>
      </c>
    </row>
    <row r="94" spans="1:14" x14ac:dyDescent="0.25">
      <c r="A94" s="1">
        <v>53</v>
      </c>
      <c r="B94" s="48">
        <v>45635</v>
      </c>
      <c r="C94" s="66">
        <v>43441358</v>
      </c>
      <c r="D94" s="124">
        <v>52.8</v>
      </c>
      <c r="E94" s="5">
        <v>18.41</v>
      </c>
      <c r="F94" s="5">
        <v>18.449000000000002</v>
      </c>
      <c r="G94" s="5">
        <f>F94-E94</f>
        <v>3.9000000000001478E-2</v>
      </c>
      <c r="H94" s="16">
        <f t="shared" si="0"/>
        <v>3.3532200000001268E-2</v>
      </c>
      <c r="I94" s="16"/>
      <c r="J94" s="16"/>
      <c r="K94" s="16">
        <f t="shared" si="5"/>
        <v>3.3532200000001268E-2</v>
      </c>
      <c r="L94" s="24"/>
      <c r="M94" s="13" t="s">
        <v>69</v>
      </c>
    </row>
    <row r="95" spans="1:14" x14ac:dyDescent="0.25">
      <c r="A95" s="1">
        <v>54</v>
      </c>
      <c r="B95" s="47">
        <v>45725</v>
      </c>
      <c r="C95" s="10" t="s">
        <v>102</v>
      </c>
      <c r="D95" s="89">
        <v>101</v>
      </c>
      <c r="E95" s="39">
        <v>2.7793999999999999</v>
      </c>
      <c r="F95" s="39">
        <v>3.5804</v>
      </c>
      <c r="G95" s="5"/>
      <c r="H95" s="16">
        <f>F95-E95</f>
        <v>0.80100000000000016</v>
      </c>
      <c r="I95" s="16"/>
      <c r="J95" s="16"/>
      <c r="K95" s="16">
        <f t="shared" si="5"/>
        <v>0.80100000000000016</v>
      </c>
      <c r="L95" s="24"/>
      <c r="M95" s="13" t="s">
        <v>69</v>
      </c>
    </row>
    <row r="96" spans="1:14" x14ac:dyDescent="0.25">
      <c r="A96" s="1">
        <v>55</v>
      </c>
      <c r="B96" s="33"/>
      <c r="C96" s="66">
        <v>43441053</v>
      </c>
      <c r="D96" s="124">
        <v>85.2</v>
      </c>
      <c r="E96" s="5">
        <v>45.667999999999999</v>
      </c>
      <c r="F96" s="5">
        <v>45.667999999999999</v>
      </c>
      <c r="G96" s="5"/>
      <c r="H96" s="16">
        <f t="shared" si="0"/>
        <v>0</v>
      </c>
      <c r="I96" s="16">
        <f>((D96*0.015)*12)/7</f>
        <v>2.1908571428571428</v>
      </c>
      <c r="J96" s="16">
        <f>D96/($E$11-$E$13)*$J$10</f>
        <v>-7.7321897129547582E-2</v>
      </c>
      <c r="K96" s="16">
        <f>H96+I96+J96</f>
        <v>2.1135352457275953</v>
      </c>
      <c r="L96" s="24"/>
      <c r="M96" s="13" t="s">
        <v>71</v>
      </c>
    </row>
    <row r="97" spans="1:13" x14ac:dyDescent="0.25">
      <c r="A97" s="1">
        <v>56</v>
      </c>
      <c r="B97" s="47">
        <v>46042</v>
      </c>
      <c r="C97" s="66">
        <v>43441050</v>
      </c>
      <c r="D97" s="124">
        <v>52.5</v>
      </c>
      <c r="E97" s="5">
        <v>30.966000000000001</v>
      </c>
      <c r="F97" s="5">
        <v>30.966000000000001</v>
      </c>
      <c r="G97" s="5">
        <f>F97-E97</f>
        <v>0</v>
      </c>
      <c r="H97" s="16">
        <f t="shared" si="0"/>
        <v>0</v>
      </c>
      <c r="I97" s="16"/>
      <c r="J97" s="16"/>
      <c r="K97" s="16">
        <f t="shared" si="5"/>
        <v>0</v>
      </c>
      <c r="L97" s="24"/>
      <c r="M97" s="13" t="s">
        <v>69</v>
      </c>
    </row>
    <row r="98" spans="1:13" x14ac:dyDescent="0.25">
      <c r="A98" s="1">
        <v>57</v>
      </c>
      <c r="B98" s="33"/>
      <c r="C98" s="66">
        <v>43441051</v>
      </c>
      <c r="D98" s="124">
        <v>52.4</v>
      </c>
      <c r="E98" s="5">
        <v>36.442999999999998</v>
      </c>
      <c r="F98" s="5">
        <v>37.469000000000001</v>
      </c>
      <c r="G98" s="5"/>
      <c r="H98" s="16">
        <f t="shared" si="0"/>
        <v>0</v>
      </c>
      <c r="I98" s="16">
        <f>((D98*0.015)*12)/7</f>
        <v>1.3474285714285712</v>
      </c>
      <c r="J98" s="16">
        <f t="shared" ref="J98:J99" si="8">D98/($E$11-$E$13)*$J$10</f>
        <v>-4.7554781802679497E-2</v>
      </c>
      <c r="K98" s="16">
        <f t="shared" si="5"/>
        <v>1.2998737896258916</v>
      </c>
      <c r="L98" s="24"/>
      <c r="M98" s="13" t="s">
        <v>71</v>
      </c>
    </row>
    <row r="99" spans="1:13" x14ac:dyDescent="0.25">
      <c r="A99" s="1">
        <v>58</v>
      </c>
      <c r="B99" s="33"/>
      <c r="C99" s="66">
        <v>43441052</v>
      </c>
      <c r="D99" s="124">
        <v>101.3</v>
      </c>
      <c r="E99" s="5">
        <v>50.496000000000002</v>
      </c>
      <c r="F99" s="5">
        <v>51.737000000000002</v>
      </c>
      <c r="G99" s="5"/>
      <c r="H99" s="16">
        <f t="shared" si="0"/>
        <v>0</v>
      </c>
      <c r="I99" s="16">
        <f>((D99*0.015)*12)/7</f>
        <v>2.6048571428571425</v>
      </c>
      <c r="J99" s="16">
        <f t="shared" si="8"/>
        <v>-9.1933194591821227E-2</v>
      </c>
      <c r="K99" s="16">
        <f t="shared" si="5"/>
        <v>2.5129239482653212</v>
      </c>
      <c r="L99" s="24"/>
      <c r="M99" s="13" t="s">
        <v>71</v>
      </c>
    </row>
    <row r="100" spans="1:13" x14ac:dyDescent="0.25">
      <c r="A100" s="1">
        <v>59</v>
      </c>
      <c r="B100" s="47">
        <v>45754</v>
      </c>
      <c r="C100" s="66">
        <v>43441057</v>
      </c>
      <c r="D100" s="124">
        <v>85.3</v>
      </c>
      <c r="E100" s="5">
        <v>23.416</v>
      </c>
      <c r="F100" s="5">
        <v>25.145</v>
      </c>
      <c r="G100" s="5">
        <f>F100-E100</f>
        <v>1.7289999999999992</v>
      </c>
      <c r="H100" s="16">
        <f t="shared" si="0"/>
        <v>1.4865941999999994</v>
      </c>
      <c r="I100" s="16"/>
      <c r="J100" s="16"/>
      <c r="K100" s="16">
        <f>H100+I100+J100</f>
        <v>1.4865941999999994</v>
      </c>
      <c r="L100" s="24"/>
      <c r="M100" s="13" t="s">
        <v>69</v>
      </c>
    </row>
    <row r="101" spans="1:13" x14ac:dyDescent="0.25">
      <c r="A101" s="1">
        <v>60</v>
      </c>
      <c r="B101" s="47">
        <v>45703</v>
      </c>
      <c r="C101" s="66">
        <v>43441058</v>
      </c>
      <c r="D101" s="124">
        <v>52.5</v>
      </c>
      <c r="E101" s="5">
        <v>8.7330000000000005</v>
      </c>
      <c r="F101" s="5">
        <v>9.7870000000000008</v>
      </c>
      <c r="G101" s="5">
        <f>F101-E101</f>
        <v>1.0540000000000003</v>
      </c>
      <c r="H101" s="16">
        <f>G101*0.8598</f>
        <v>0.90622920000000029</v>
      </c>
      <c r="I101" s="16"/>
      <c r="J101" s="16"/>
      <c r="K101" s="16">
        <f t="shared" si="5"/>
        <v>0.90622920000000029</v>
      </c>
      <c r="M101" s="13" t="s">
        <v>69</v>
      </c>
    </row>
    <row r="102" spans="1:13" x14ac:dyDescent="0.25">
      <c r="A102" s="1">
        <v>61</v>
      </c>
      <c r="B102" s="48">
        <v>45517</v>
      </c>
      <c r="C102" s="66">
        <v>43441054</v>
      </c>
      <c r="D102" s="124">
        <v>52.3</v>
      </c>
      <c r="E102" s="5">
        <v>18.178999999999998</v>
      </c>
      <c r="F102" s="5">
        <v>19.032</v>
      </c>
      <c r="G102" s="5">
        <f>F102-E102</f>
        <v>0.85300000000000153</v>
      </c>
      <c r="H102" s="16">
        <f t="shared" si="0"/>
        <v>0.73340940000000132</v>
      </c>
      <c r="I102" s="16"/>
      <c r="J102" s="16"/>
      <c r="K102" s="16">
        <f t="shared" si="5"/>
        <v>0.73340940000000132</v>
      </c>
      <c r="M102" s="13" t="s">
        <v>69</v>
      </c>
    </row>
    <row r="103" spans="1:13" x14ac:dyDescent="0.25">
      <c r="A103" s="1">
        <v>62</v>
      </c>
      <c r="B103" s="47">
        <v>45907</v>
      </c>
      <c r="C103" s="66">
        <v>43441056</v>
      </c>
      <c r="D103" s="124">
        <v>100.5</v>
      </c>
      <c r="E103" s="5">
        <v>36.17</v>
      </c>
      <c r="F103" s="5">
        <v>37.207000000000001</v>
      </c>
      <c r="G103" s="5">
        <f>F103-E103</f>
        <v>1.036999999999999</v>
      </c>
      <c r="H103" s="16">
        <f t="shared" si="0"/>
        <v>0.8916125999999992</v>
      </c>
      <c r="I103" s="16"/>
      <c r="J103" s="16"/>
      <c r="K103" s="16">
        <f t="shared" si="5"/>
        <v>0.8916125999999992</v>
      </c>
      <c r="M103" s="13" t="s">
        <v>69</v>
      </c>
    </row>
    <row r="104" spans="1:13" x14ac:dyDescent="0.25">
      <c r="A104" s="1">
        <v>63</v>
      </c>
      <c r="B104" s="47">
        <v>45920</v>
      </c>
      <c r="C104" s="66">
        <v>43441064</v>
      </c>
      <c r="D104" s="124">
        <v>85.2</v>
      </c>
      <c r="E104" s="5">
        <v>27.754000000000001</v>
      </c>
      <c r="F104" s="5">
        <v>28.576000000000001</v>
      </c>
      <c r="G104" s="5">
        <f>F104-E104</f>
        <v>0.82199999999999918</v>
      </c>
      <c r="H104" s="16">
        <f t="shared" si="0"/>
        <v>0.70675559999999926</v>
      </c>
      <c r="I104" s="16"/>
      <c r="J104" s="16"/>
      <c r="K104" s="16">
        <f t="shared" si="5"/>
        <v>0.70675559999999926</v>
      </c>
      <c r="M104" s="13" t="s">
        <v>69</v>
      </c>
    </row>
    <row r="105" spans="1:13" x14ac:dyDescent="0.25">
      <c r="A105" s="1">
        <v>64</v>
      </c>
      <c r="B105" s="33"/>
      <c r="C105" s="66">
        <v>43441061</v>
      </c>
      <c r="D105" s="124">
        <v>52.7</v>
      </c>
      <c r="E105" s="5">
        <v>23.795000000000002</v>
      </c>
      <c r="F105" s="5">
        <v>24.396000000000001</v>
      </c>
      <c r="G105" s="5"/>
      <c r="H105" s="16">
        <f t="shared" si="0"/>
        <v>0</v>
      </c>
      <c r="I105" s="16">
        <f>((D105*0.015)*12)/7</f>
        <v>1.3551428571428572</v>
      </c>
      <c r="J105" s="16">
        <f t="shared" ref="J105:J106" si="9">D105/($E$11-$E$13)*$J$10</f>
        <v>-4.782704200383988E-2</v>
      </c>
      <c r="K105" s="16">
        <f t="shared" si="5"/>
        <v>1.3073158151390174</v>
      </c>
      <c r="M105" s="13" t="s">
        <v>71</v>
      </c>
    </row>
    <row r="106" spans="1:13" x14ac:dyDescent="0.25">
      <c r="A106" s="1">
        <v>65</v>
      </c>
      <c r="B106" s="33"/>
      <c r="C106" s="66">
        <v>43441055</v>
      </c>
      <c r="D106" s="124">
        <v>53.1</v>
      </c>
      <c r="E106" s="5">
        <v>17.472999999999999</v>
      </c>
      <c r="F106" s="5">
        <v>17.498000000000001</v>
      </c>
      <c r="G106" s="5"/>
      <c r="H106" s="16">
        <f t="shared" si="0"/>
        <v>0</v>
      </c>
      <c r="I106" s="16">
        <f>((D106*0.015)*12)/7</f>
        <v>1.3654285714285714</v>
      </c>
      <c r="J106" s="16">
        <f t="shared" si="9"/>
        <v>-4.8190055605387049E-2</v>
      </c>
      <c r="K106" s="16">
        <f t="shared" si="5"/>
        <v>1.3172385158231843</v>
      </c>
      <c r="M106" s="13" t="s">
        <v>71</v>
      </c>
    </row>
    <row r="107" spans="1:13" x14ac:dyDescent="0.25">
      <c r="A107" s="1">
        <v>66</v>
      </c>
      <c r="B107" s="47">
        <v>45580</v>
      </c>
      <c r="C107" s="66">
        <v>43441063</v>
      </c>
      <c r="D107" s="124">
        <v>101.1</v>
      </c>
      <c r="E107" s="5">
        <v>7.6669999999999998</v>
      </c>
      <c r="F107" s="5">
        <v>7.6669999999999998</v>
      </c>
      <c r="G107" s="5">
        <f>F107-E107</f>
        <v>0</v>
      </c>
      <c r="H107" s="16">
        <f t="shared" ref="H107:H122" si="10">G107*0.8598</f>
        <v>0</v>
      </c>
      <c r="I107" s="16"/>
      <c r="J107" s="16"/>
      <c r="K107" s="16">
        <f t="shared" si="5"/>
        <v>0</v>
      </c>
      <c r="M107" s="13" t="s">
        <v>69</v>
      </c>
    </row>
    <row r="108" spans="1:13" x14ac:dyDescent="0.25">
      <c r="A108" s="1">
        <v>67</v>
      </c>
      <c r="B108" s="47">
        <v>45870</v>
      </c>
      <c r="C108" s="66">
        <v>43441067</v>
      </c>
      <c r="D108" s="124">
        <v>84.7</v>
      </c>
      <c r="E108" s="5">
        <f>16.49+1.2705+1.2705</f>
        <v>19.030999999999995</v>
      </c>
      <c r="F108" s="5">
        <f>16.49+1.2705+1.2705</f>
        <v>19.030999999999995</v>
      </c>
      <c r="G108" s="5">
        <f>F108-E108</f>
        <v>0</v>
      </c>
      <c r="H108" s="16">
        <f t="shared" si="10"/>
        <v>0</v>
      </c>
      <c r="I108" s="16"/>
      <c r="J108" s="16"/>
      <c r="K108" s="16">
        <f t="shared" si="5"/>
        <v>0</v>
      </c>
      <c r="M108" s="13" t="s">
        <v>69</v>
      </c>
    </row>
    <row r="109" spans="1:13" x14ac:dyDescent="0.25">
      <c r="A109" s="1">
        <v>68</v>
      </c>
      <c r="B109" s="47">
        <v>45790</v>
      </c>
      <c r="C109" s="66">
        <v>43441065</v>
      </c>
      <c r="D109" s="124">
        <v>52.7</v>
      </c>
      <c r="E109" s="5">
        <v>26.308</v>
      </c>
      <c r="F109" s="5">
        <v>27.030999999999999</v>
      </c>
      <c r="G109" s="5">
        <f>F109-E109</f>
        <v>0.72299999999999898</v>
      </c>
      <c r="H109" s="16">
        <f>G109*0.8598</f>
        <v>0.62163539999999917</v>
      </c>
      <c r="I109" s="16"/>
      <c r="J109" s="16"/>
      <c r="K109" s="16">
        <f t="shared" si="5"/>
        <v>0.62163539999999917</v>
      </c>
      <c r="M109" s="13" t="s">
        <v>69</v>
      </c>
    </row>
    <row r="110" spans="1:13" x14ac:dyDescent="0.25">
      <c r="A110" s="1">
        <v>69</v>
      </c>
      <c r="B110" s="47">
        <v>45768</v>
      </c>
      <c r="C110" s="66">
        <v>43441060</v>
      </c>
      <c r="D110" s="124">
        <v>53.3</v>
      </c>
      <c r="E110" s="5">
        <v>23.498000000000001</v>
      </c>
      <c r="F110" s="5">
        <v>23.965</v>
      </c>
      <c r="G110" s="5">
        <f>F110-E110</f>
        <v>0.46699999999999875</v>
      </c>
      <c r="H110" s="16">
        <f t="shared" si="10"/>
        <v>0.40152659999999896</v>
      </c>
      <c r="I110" s="16"/>
      <c r="J110" s="16"/>
      <c r="K110" s="16">
        <f t="shared" si="5"/>
        <v>0.40152659999999896</v>
      </c>
      <c r="M110" s="13" t="s">
        <v>69</v>
      </c>
    </row>
    <row r="111" spans="1:13" x14ac:dyDescent="0.25">
      <c r="A111" s="1">
        <v>70</v>
      </c>
      <c r="B111" s="33"/>
      <c r="C111" s="66">
        <v>43441066</v>
      </c>
      <c r="D111" s="124">
        <v>101.3</v>
      </c>
      <c r="E111" s="5">
        <v>58.136000000000003</v>
      </c>
      <c r="F111" s="5">
        <v>59.222999999999999</v>
      </c>
      <c r="G111" s="5"/>
      <c r="H111" s="16">
        <f t="shared" si="10"/>
        <v>0</v>
      </c>
      <c r="I111" s="16">
        <f t="shared" ref="I111:I117" si="11">((D111*0.015)*12)/7</f>
        <v>2.6048571428571425</v>
      </c>
      <c r="J111" s="16">
        <f t="shared" ref="J111:J115" si="12">D111/($E$11-$E$13)*$J$10</f>
        <v>-9.1933194591821227E-2</v>
      </c>
      <c r="K111" s="16">
        <f t="shared" si="5"/>
        <v>2.5129239482653212</v>
      </c>
      <c r="M111" s="13" t="s">
        <v>71</v>
      </c>
    </row>
    <row r="112" spans="1:13" x14ac:dyDescent="0.25">
      <c r="A112" s="1">
        <v>71</v>
      </c>
      <c r="B112" s="33"/>
      <c r="C112" s="66">
        <v>43441350</v>
      </c>
      <c r="D112" s="124">
        <v>85.7</v>
      </c>
      <c r="E112" s="5">
        <v>72.227999999999994</v>
      </c>
      <c r="F112" s="5">
        <v>72.227999999999994</v>
      </c>
      <c r="G112" s="5"/>
      <c r="H112" s="16">
        <f t="shared" si="10"/>
        <v>0</v>
      </c>
      <c r="I112" s="16">
        <f t="shared" si="11"/>
        <v>2.2037142857142862</v>
      </c>
      <c r="J112" s="16">
        <f t="shared" si="12"/>
        <v>-7.7775664131481542E-2</v>
      </c>
      <c r="K112" s="16">
        <f t="shared" si="5"/>
        <v>2.1259386215828044</v>
      </c>
      <c r="M112" s="13" t="s">
        <v>71</v>
      </c>
    </row>
    <row r="113" spans="1:15" x14ac:dyDescent="0.25">
      <c r="A113" s="1">
        <v>72</v>
      </c>
      <c r="B113" s="33"/>
      <c r="C113" s="66">
        <v>43441353</v>
      </c>
      <c r="D113" s="124">
        <v>52.8</v>
      </c>
      <c r="E113" s="5">
        <v>28.731000000000002</v>
      </c>
      <c r="F113" s="5">
        <v>29.698</v>
      </c>
      <c r="G113" s="5"/>
      <c r="H113" s="16">
        <f t="shared" si="10"/>
        <v>0</v>
      </c>
      <c r="I113" s="16">
        <f t="shared" si="11"/>
        <v>1.3577142857142857</v>
      </c>
      <c r="J113" s="16">
        <f t="shared" si="12"/>
        <v>-4.7917795404226665E-2</v>
      </c>
      <c r="K113" s="16">
        <f t="shared" si="5"/>
        <v>1.309796490310059</v>
      </c>
      <c r="M113" s="13" t="s">
        <v>71</v>
      </c>
    </row>
    <row r="114" spans="1:15" x14ac:dyDescent="0.25">
      <c r="A114" s="1">
        <v>73</v>
      </c>
      <c r="B114" s="33"/>
      <c r="C114" s="66">
        <v>43441062</v>
      </c>
      <c r="D114" s="124">
        <v>52.8</v>
      </c>
      <c r="E114" s="5">
        <v>11.945</v>
      </c>
      <c r="F114" s="5">
        <v>12.004</v>
      </c>
      <c r="G114" s="5"/>
      <c r="H114" s="16">
        <f t="shared" si="10"/>
        <v>0</v>
      </c>
      <c r="I114" s="16">
        <f t="shared" si="11"/>
        <v>1.3577142857142857</v>
      </c>
      <c r="J114" s="16">
        <f t="shared" si="12"/>
        <v>-4.7917795404226665E-2</v>
      </c>
      <c r="K114" s="16">
        <f t="shared" si="5"/>
        <v>1.309796490310059</v>
      </c>
      <c r="M114" s="13" t="s">
        <v>71</v>
      </c>
    </row>
    <row r="115" spans="1:15" ht="15.75" thickBot="1" x14ac:dyDescent="0.3">
      <c r="A115" s="15">
        <v>74</v>
      </c>
      <c r="B115" s="35"/>
      <c r="C115" s="68">
        <v>43441059</v>
      </c>
      <c r="D115" s="90">
        <v>100.6</v>
      </c>
      <c r="E115" s="8">
        <v>42.893999999999998</v>
      </c>
      <c r="F115" s="8">
        <v>44.268000000000001</v>
      </c>
      <c r="G115" s="8"/>
      <c r="H115" s="91">
        <f t="shared" si="10"/>
        <v>0</v>
      </c>
      <c r="I115" s="16">
        <f t="shared" si="11"/>
        <v>2.5868571428571423</v>
      </c>
      <c r="J115" s="16">
        <f t="shared" si="12"/>
        <v>-9.1297920789113696E-2</v>
      </c>
      <c r="K115" s="16">
        <f>H115+I115+J115</f>
        <v>2.4955592220680285</v>
      </c>
      <c r="M115" s="13" t="s">
        <v>71</v>
      </c>
    </row>
    <row r="116" spans="1:15" ht="15.75" thickBot="1" x14ac:dyDescent="0.3">
      <c r="A116" s="219" t="s">
        <v>73</v>
      </c>
      <c r="B116" s="220"/>
      <c r="C116" s="220"/>
      <c r="D116" s="92">
        <f>SUM(D42:D115)</f>
        <v>5338.7000000000025</v>
      </c>
      <c r="E116" s="221" t="s">
        <v>74</v>
      </c>
      <c r="F116" s="221"/>
      <c r="G116" s="221"/>
      <c r="H116" s="64">
        <f>SUM(H42:H115)</f>
        <v>26.81876539999999</v>
      </c>
      <c r="I116" s="64">
        <f>SUM(I42:I115)</f>
        <v>52.994571428571426</v>
      </c>
      <c r="J116" s="64">
        <f>SUM(J42:J115)</f>
        <v>-1.870336828571415</v>
      </c>
      <c r="K116" s="93">
        <f>SUM(K42:K115)</f>
        <v>77.942999999999984</v>
      </c>
      <c r="M116" s="13"/>
    </row>
    <row r="117" spans="1:15" x14ac:dyDescent="0.25">
      <c r="A117" s="9">
        <v>75</v>
      </c>
      <c r="B117" s="36"/>
      <c r="C117" s="69">
        <v>43441332</v>
      </c>
      <c r="D117" s="130">
        <v>85</v>
      </c>
      <c r="E117" s="6">
        <v>70.528999999999996</v>
      </c>
      <c r="F117" s="6">
        <v>72.198999999999998</v>
      </c>
      <c r="G117" s="6"/>
      <c r="H117" s="19">
        <f t="shared" si="10"/>
        <v>0</v>
      </c>
      <c r="I117" s="16">
        <f t="shared" si="11"/>
        <v>2.1857142857142855</v>
      </c>
      <c r="J117" s="16"/>
      <c r="K117" s="19">
        <f>H117+I117+J117</f>
        <v>2.1857142857142855</v>
      </c>
      <c r="M117" s="13" t="s">
        <v>71</v>
      </c>
    </row>
    <row r="118" spans="1:15" x14ac:dyDescent="0.25">
      <c r="A118" s="1">
        <v>76</v>
      </c>
      <c r="B118" s="47">
        <v>45939</v>
      </c>
      <c r="C118" s="66">
        <v>43441335</v>
      </c>
      <c r="D118" s="124">
        <v>58.3</v>
      </c>
      <c r="E118" s="5">
        <v>42.435000000000002</v>
      </c>
      <c r="F118" s="5">
        <v>44.021999999999998</v>
      </c>
      <c r="G118" s="5">
        <f>F118-E118</f>
        <v>1.5869999999999962</v>
      </c>
      <c r="H118" s="16">
        <f>G118*0.8598</f>
        <v>1.3645025999999967</v>
      </c>
      <c r="I118" s="19"/>
      <c r="J118" s="16">
        <f>D118/($E$18-$E$19)*$J$17</f>
        <v>4.3408184500027737E-2</v>
      </c>
      <c r="K118" s="19">
        <f t="shared" ref="K118:K172" si="13">H118+I118+J118</f>
        <v>1.4079107845000245</v>
      </c>
      <c r="M118" s="13" t="s">
        <v>69</v>
      </c>
    </row>
    <row r="119" spans="1:15" x14ac:dyDescent="0.25">
      <c r="A119" s="1">
        <v>77</v>
      </c>
      <c r="B119" s="47">
        <v>45950</v>
      </c>
      <c r="C119" s="66">
        <v>43441338</v>
      </c>
      <c r="D119" s="124">
        <v>58.5</v>
      </c>
      <c r="E119" s="5">
        <v>44.530999999999999</v>
      </c>
      <c r="F119" s="5">
        <v>44.530999999999999</v>
      </c>
      <c r="G119" s="5">
        <f>F119-E119</f>
        <v>0</v>
      </c>
      <c r="H119" s="16">
        <f>G119*0.8598</f>
        <v>0</v>
      </c>
      <c r="I119" s="19"/>
      <c r="J119" s="16">
        <f>D119/($E$18-$E$19)*$J$17</f>
        <v>4.3557097654401765E-2</v>
      </c>
      <c r="K119" s="19">
        <f t="shared" si="13"/>
        <v>4.3557097654401765E-2</v>
      </c>
      <c r="M119" s="13" t="s">
        <v>69</v>
      </c>
    </row>
    <row r="120" spans="1:15" x14ac:dyDescent="0.25">
      <c r="A120" s="1">
        <v>78</v>
      </c>
      <c r="B120" s="47" t="s">
        <v>59</v>
      </c>
      <c r="C120" s="66" t="s">
        <v>109</v>
      </c>
      <c r="D120" s="124">
        <v>76.599999999999994</v>
      </c>
      <c r="E120" s="39">
        <v>2.7437</v>
      </c>
      <c r="F120" s="39">
        <v>4.242</v>
      </c>
      <c r="G120" s="5"/>
      <c r="H120" s="16">
        <f>F120-E120</f>
        <v>1.4983</v>
      </c>
      <c r="I120" s="16"/>
      <c r="J120" s="16">
        <f>D120/($E$18-$E$19)*$J$17</f>
        <v>5.7033738125250852E-2</v>
      </c>
      <c r="K120" s="19">
        <f t="shared" si="13"/>
        <v>1.5553337381252508</v>
      </c>
      <c r="M120" s="13" t="s">
        <v>69</v>
      </c>
    </row>
    <row r="121" spans="1:15" x14ac:dyDescent="0.25">
      <c r="A121" s="1">
        <v>79</v>
      </c>
      <c r="B121" s="47">
        <v>45747</v>
      </c>
      <c r="C121" s="66">
        <v>43441336</v>
      </c>
      <c r="D121" s="125">
        <v>85.7</v>
      </c>
      <c r="E121" s="5">
        <v>22.523</v>
      </c>
      <c r="F121" s="5">
        <v>22.861999999999998</v>
      </c>
      <c r="G121" s="28">
        <f>F121-E121</f>
        <v>0.33899999999999864</v>
      </c>
      <c r="H121" s="16">
        <f>G121*0.8598</f>
        <v>0.29147219999999885</v>
      </c>
      <c r="I121" s="19"/>
      <c r="J121" s="16">
        <f>D121/($E$18-$E$19)*$J$17</f>
        <v>6.3809286649268909E-2</v>
      </c>
      <c r="K121" s="19">
        <f t="shared" si="13"/>
        <v>0.35528148664926773</v>
      </c>
      <c r="M121" s="13" t="s">
        <v>69</v>
      </c>
      <c r="O121" s="24"/>
    </row>
    <row r="122" spans="1:15" x14ac:dyDescent="0.25">
      <c r="A122" s="1">
        <v>80</v>
      </c>
      <c r="B122" s="33"/>
      <c r="C122" s="66">
        <v>43441339</v>
      </c>
      <c r="D122" s="125">
        <v>58.3</v>
      </c>
      <c r="E122" s="5">
        <v>38.991999999999997</v>
      </c>
      <c r="F122" s="5">
        <v>40.317</v>
      </c>
      <c r="G122" s="28"/>
      <c r="H122" s="16">
        <f t="shared" si="10"/>
        <v>0</v>
      </c>
      <c r="I122" s="16">
        <f>((D122*0.015)*12)/7</f>
        <v>1.4991428571428571</v>
      </c>
      <c r="J122" s="16"/>
      <c r="K122" s="19">
        <f t="shared" si="13"/>
        <v>1.4991428571428571</v>
      </c>
      <c r="M122" s="13" t="s">
        <v>71</v>
      </c>
      <c r="O122" s="30"/>
    </row>
    <row r="123" spans="1:15" x14ac:dyDescent="0.25">
      <c r="A123" s="1">
        <v>81</v>
      </c>
      <c r="B123" s="33"/>
      <c r="C123" s="66">
        <v>43441337</v>
      </c>
      <c r="D123" s="125">
        <v>58.4</v>
      </c>
      <c r="E123" s="5">
        <v>21.286000000000001</v>
      </c>
      <c r="F123" s="5">
        <v>21.597999999999999</v>
      </c>
      <c r="G123" s="28"/>
      <c r="H123" s="16">
        <f>G123*0.8598</f>
        <v>0</v>
      </c>
      <c r="I123" s="16">
        <f>((D123*0.015)*12)/7</f>
        <v>1.5017142857142858</v>
      </c>
      <c r="J123" s="16"/>
      <c r="K123" s="19">
        <f t="shared" si="13"/>
        <v>1.5017142857142858</v>
      </c>
      <c r="M123" s="13" t="s">
        <v>71</v>
      </c>
      <c r="O123" s="24"/>
    </row>
    <row r="124" spans="1:15" x14ac:dyDescent="0.25">
      <c r="A124" s="1">
        <v>82</v>
      </c>
      <c r="B124" s="48">
        <v>45937</v>
      </c>
      <c r="C124" s="66">
        <v>43441334</v>
      </c>
      <c r="D124" s="125">
        <v>76.400000000000006</v>
      </c>
      <c r="E124" s="5">
        <v>31.844000000000001</v>
      </c>
      <c r="F124" s="5">
        <v>31.844000000000001</v>
      </c>
      <c r="G124" s="28">
        <f>F124-E124</f>
        <v>0</v>
      </c>
      <c r="H124" s="16">
        <f t="shared" ref="H124:H151" si="14">G124*0.8598</f>
        <v>0</v>
      </c>
      <c r="I124" s="16"/>
      <c r="J124" s="16">
        <f>D124/($E$18-$E$19)*$J$17</f>
        <v>5.6884824970876838E-2</v>
      </c>
      <c r="K124" s="19">
        <f t="shared" si="13"/>
        <v>5.6884824970876838E-2</v>
      </c>
      <c r="M124" s="13" t="s">
        <v>69</v>
      </c>
    </row>
    <row r="125" spans="1:15" x14ac:dyDescent="0.25">
      <c r="A125" s="1">
        <v>83</v>
      </c>
      <c r="B125" s="47">
        <v>45847</v>
      </c>
      <c r="C125" s="66">
        <v>43441340</v>
      </c>
      <c r="D125" s="125">
        <v>85.5</v>
      </c>
      <c r="E125" s="5">
        <v>56.561</v>
      </c>
      <c r="F125" s="5">
        <v>58.13</v>
      </c>
      <c r="G125" s="28">
        <f>F125-E125</f>
        <v>1.5690000000000026</v>
      </c>
      <c r="H125" s="16">
        <f t="shared" si="14"/>
        <v>1.3490262000000022</v>
      </c>
      <c r="I125" s="19"/>
      <c r="J125" s="16">
        <f>D125/($E$18-$E$19)*$J$17</f>
        <v>6.3660373494894881E-2</v>
      </c>
      <c r="K125" s="19">
        <f t="shared" si="13"/>
        <v>1.412686573494897</v>
      </c>
      <c r="M125" s="13" t="s">
        <v>69</v>
      </c>
    </row>
    <row r="126" spans="1:15" x14ac:dyDescent="0.25">
      <c r="A126" s="1">
        <v>84</v>
      </c>
      <c r="B126" s="33"/>
      <c r="C126" s="66">
        <v>43441326</v>
      </c>
      <c r="D126" s="125">
        <v>58.6</v>
      </c>
      <c r="E126" s="5">
        <v>6.2569999999999997</v>
      </c>
      <c r="F126" s="5">
        <v>6.2569999999999997</v>
      </c>
      <c r="G126" s="28"/>
      <c r="H126" s="16">
        <f t="shared" si="14"/>
        <v>0</v>
      </c>
      <c r="I126" s="16">
        <f>((D126*0.015)*12)/7</f>
        <v>1.5068571428571429</v>
      </c>
      <c r="J126" s="16"/>
      <c r="K126" s="19">
        <f t="shared" si="13"/>
        <v>1.5068571428571429</v>
      </c>
      <c r="M126" s="13" t="s">
        <v>71</v>
      </c>
    </row>
    <row r="127" spans="1:15" x14ac:dyDescent="0.25">
      <c r="A127" s="1">
        <v>85</v>
      </c>
      <c r="B127" s="33"/>
      <c r="C127" s="66">
        <v>43441323</v>
      </c>
      <c r="D127" s="125">
        <v>59.6</v>
      </c>
      <c r="E127" s="5">
        <v>27.059000000000001</v>
      </c>
      <c r="F127" s="5">
        <v>28.510999999999999</v>
      </c>
      <c r="G127" s="28"/>
      <c r="H127" s="16">
        <f t="shared" si="14"/>
        <v>0</v>
      </c>
      <c r="I127" s="16">
        <f>((D127*0.015)*12)/7</f>
        <v>1.5325714285714285</v>
      </c>
      <c r="J127" s="16"/>
      <c r="K127" s="19">
        <f t="shared" si="13"/>
        <v>1.5325714285714285</v>
      </c>
      <c r="M127" s="13" t="s">
        <v>71</v>
      </c>
    </row>
    <row r="128" spans="1:15" x14ac:dyDescent="0.25">
      <c r="A128" s="1">
        <v>86</v>
      </c>
      <c r="B128" s="48">
        <v>45674</v>
      </c>
      <c r="C128" s="66">
        <v>43441329</v>
      </c>
      <c r="D128" s="125">
        <v>76.5</v>
      </c>
      <c r="E128" s="5">
        <v>7.9980000000000002</v>
      </c>
      <c r="F128" s="5">
        <v>7.9989999999999997</v>
      </c>
      <c r="G128" s="28">
        <f>F128-E128</f>
        <v>9.9999999999944578E-4</v>
      </c>
      <c r="H128" s="16">
        <f>G128*0.8598</f>
        <v>8.5979999999952347E-4</v>
      </c>
      <c r="I128" s="16"/>
      <c r="J128" s="16">
        <f>D128/($E$18-$E$19)*$J$17</f>
        <v>5.6959281548063838E-2</v>
      </c>
      <c r="K128" s="19">
        <f>H128+I128+J128</f>
        <v>5.781908154806336E-2</v>
      </c>
      <c r="M128" s="13" t="s">
        <v>69</v>
      </c>
    </row>
    <row r="129" spans="1:13" x14ac:dyDescent="0.25">
      <c r="A129" s="1">
        <v>87</v>
      </c>
      <c r="B129" s="33"/>
      <c r="C129" s="66">
        <v>43441330</v>
      </c>
      <c r="D129" s="125">
        <v>85.1</v>
      </c>
      <c r="E129" s="5">
        <v>91.863</v>
      </c>
      <c r="F129" s="5">
        <v>53.182000000000002</v>
      </c>
      <c r="G129" s="28"/>
      <c r="H129" s="16">
        <f t="shared" si="14"/>
        <v>0</v>
      </c>
      <c r="I129" s="16">
        <f>((D129*0.015)*12)/7</f>
        <v>2.1882857142857142</v>
      </c>
      <c r="J129" s="16"/>
      <c r="K129" s="19">
        <f t="shared" si="13"/>
        <v>2.1882857142857142</v>
      </c>
      <c r="M129" s="13" t="s">
        <v>71</v>
      </c>
    </row>
    <row r="130" spans="1:13" x14ac:dyDescent="0.25">
      <c r="A130" s="1">
        <v>88</v>
      </c>
      <c r="B130" s="47">
        <v>45914</v>
      </c>
      <c r="C130" s="66">
        <v>43441327</v>
      </c>
      <c r="D130" s="125">
        <v>58.4</v>
      </c>
      <c r="E130" s="5">
        <v>27.684000000000001</v>
      </c>
      <c r="F130" s="5">
        <v>28.501000000000001</v>
      </c>
      <c r="G130" s="28">
        <f>F130-E130</f>
        <v>0.81700000000000017</v>
      </c>
      <c r="H130" s="16">
        <f t="shared" si="14"/>
        <v>0.70245660000000021</v>
      </c>
      <c r="I130" s="19"/>
      <c r="J130" s="16">
        <f>D130/($E$18-$E$19)*$J$17</f>
        <v>4.3482641077214751E-2</v>
      </c>
      <c r="K130" s="19">
        <f t="shared" si="13"/>
        <v>0.74593924107721499</v>
      </c>
      <c r="M130" s="13" t="s">
        <v>69</v>
      </c>
    </row>
    <row r="131" spans="1:13" x14ac:dyDescent="0.25">
      <c r="A131" s="1">
        <v>89</v>
      </c>
      <c r="B131" s="47">
        <v>45889</v>
      </c>
      <c r="C131" s="66">
        <v>43441324</v>
      </c>
      <c r="D131" s="125">
        <v>58.7</v>
      </c>
      <c r="E131" s="5">
        <v>27.556000000000001</v>
      </c>
      <c r="F131" s="5">
        <v>30.814</v>
      </c>
      <c r="G131" s="28">
        <f>F131-E131</f>
        <v>3.2579999999999991</v>
      </c>
      <c r="H131" s="16">
        <f t="shared" si="14"/>
        <v>2.8012283999999994</v>
      </c>
      <c r="I131" s="19"/>
      <c r="J131" s="16">
        <f>D131/($E$18-$E$19)*$J$17</f>
        <v>4.3706010808775786E-2</v>
      </c>
      <c r="K131" s="19">
        <f t="shared" si="13"/>
        <v>2.8449344108087753</v>
      </c>
      <c r="M131" s="13" t="s">
        <v>69</v>
      </c>
    </row>
    <row r="132" spans="1:13" x14ac:dyDescent="0.25">
      <c r="A132" s="1">
        <v>90</v>
      </c>
      <c r="B132" s="33"/>
      <c r="C132" s="66">
        <v>43441325</v>
      </c>
      <c r="D132" s="125">
        <v>77.7</v>
      </c>
      <c r="E132" s="5">
        <v>36.055999999999997</v>
      </c>
      <c r="F132" s="5">
        <v>37.279000000000003</v>
      </c>
      <c r="G132" s="28"/>
      <c r="H132" s="16">
        <f t="shared" si="14"/>
        <v>0</v>
      </c>
      <c r="I132" s="16">
        <f>((D132*0.015)*12)/7</f>
        <v>1.998</v>
      </c>
      <c r="J132" s="16"/>
      <c r="K132" s="19">
        <f t="shared" si="13"/>
        <v>1.998</v>
      </c>
      <c r="M132" s="13" t="s">
        <v>71</v>
      </c>
    </row>
    <row r="133" spans="1:13" x14ac:dyDescent="0.25">
      <c r="A133" s="1">
        <v>91</v>
      </c>
      <c r="B133" s="47">
        <v>45756</v>
      </c>
      <c r="C133" s="66">
        <v>43441328</v>
      </c>
      <c r="D133" s="125">
        <v>85.3</v>
      </c>
      <c r="E133" s="5">
        <v>16.643000000000001</v>
      </c>
      <c r="F133" s="5">
        <v>16.895</v>
      </c>
      <c r="G133" s="28">
        <f>F133-E133</f>
        <v>0.25199999999999889</v>
      </c>
      <c r="H133" s="16">
        <f t="shared" si="14"/>
        <v>0.21666959999999905</v>
      </c>
      <c r="I133" s="16"/>
      <c r="J133" s="16">
        <f>D133/($E$18-$E$19)*$J$17</f>
        <v>6.3511460340520853E-2</v>
      </c>
      <c r="K133" s="19">
        <f t="shared" si="13"/>
        <v>0.28018106034051993</v>
      </c>
      <c r="M133" s="13" t="s">
        <v>69</v>
      </c>
    </row>
    <row r="134" spans="1:13" x14ac:dyDescent="0.25">
      <c r="A134" s="1">
        <v>92</v>
      </c>
      <c r="B134" s="47">
        <v>45900</v>
      </c>
      <c r="C134" s="66">
        <v>43441331</v>
      </c>
      <c r="D134" s="125">
        <v>58.5</v>
      </c>
      <c r="E134" s="5">
        <v>39.703000000000003</v>
      </c>
      <c r="F134" s="5">
        <v>40.572000000000003</v>
      </c>
      <c r="G134" s="28">
        <f>F134-E134</f>
        <v>0.86899999999999977</v>
      </c>
      <c r="H134" s="16">
        <f t="shared" si="14"/>
        <v>0.74716619999999978</v>
      </c>
      <c r="I134" s="19"/>
      <c r="J134" s="16">
        <f>D134/($E$18-$E$19)*$J$17</f>
        <v>4.3557097654401765E-2</v>
      </c>
      <c r="K134" s="19">
        <f t="shared" si="13"/>
        <v>0.79072329765440152</v>
      </c>
      <c r="M134" s="13" t="s">
        <v>69</v>
      </c>
    </row>
    <row r="135" spans="1:13" x14ac:dyDescent="0.25">
      <c r="A135" s="1">
        <v>93</v>
      </c>
      <c r="B135" s="47">
        <v>45912</v>
      </c>
      <c r="C135" s="66">
        <v>34242164</v>
      </c>
      <c r="D135" s="125">
        <v>59.3</v>
      </c>
      <c r="E135" s="5">
        <v>22.619</v>
      </c>
      <c r="F135" s="5">
        <v>22.619</v>
      </c>
      <c r="G135" s="28">
        <f>F135-E135</f>
        <v>0</v>
      </c>
      <c r="H135" s="16">
        <f t="shared" si="14"/>
        <v>0</v>
      </c>
      <c r="I135" s="19"/>
      <c r="J135" s="16">
        <f>D135/($E$18-$E$19)*$J$17</f>
        <v>4.4152750271897856E-2</v>
      </c>
      <c r="K135" s="19">
        <f t="shared" si="13"/>
        <v>4.4152750271897856E-2</v>
      </c>
      <c r="M135" s="13" t="s">
        <v>69</v>
      </c>
    </row>
    <row r="136" spans="1:13" x14ac:dyDescent="0.25">
      <c r="A136" s="1">
        <v>94</v>
      </c>
      <c r="B136" s="47">
        <v>46052</v>
      </c>
      <c r="C136" s="66">
        <v>34242158</v>
      </c>
      <c r="D136" s="125">
        <v>76.8</v>
      </c>
      <c r="E136" s="5">
        <f>31.979+0.299</f>
        <v>32.277999999999999</v>
      </c>
      <c r="F136" s="5">
        <v>33.249000000000002</v>
      </c>
      <c r="G136" s="28">
        <f>F136-E136</f>
        <v>0.97100000000000364</v>
      </c>
      <c r="H136" s="16">
        <f>G136*0.8598</f>
        <v>0.8348658000000031</v>
      </c>
      <c r="I136" s="16"/>
      <c r="J136" s="16">
        <f>D136/($E$18-$E$19)*$J$17</f>
        <v>5.7182651279624873E-2</v>
      </c>
      <c r="K136" s="19">
        <f t="shared" si="13"/>
        <v>0.89204845127962795</v>
      </c>
      <c r="M136" s="13" t="s">
        <v>69</v>
      </c>
    </row>
    <row r="137" spans="1:13" x14ac:dyDescent="0.25">
      <c r="A137" s="1">
        <v>95</v>
      </c>
      <c r="B137" s="33"/>
      <c r="C137" s="66">
        <v>34242124</v>
      </c>
      <c r="D137" s="125">
        <v>85.2</v>
      </c>
      <c r="E137" s="5">
        <v>52.453000000000003</v>
      </c>
      <c r="F137" s="5">
        <v>54.19</v>
      </c>
      <c r="G137" s="28"/>
      <c r="H137" s="16">
        <f t="shared" si="14"/>
        <v>0</v>
      </c>
      <c r="I137" s="16">
        <f>((D137*0.015)*12)/7</f>
        <v>2.1908571428571428</v>
      </c>
      <c r="J137" s="16"/>
      <c r="K137" s="19">
        <f t="shared" si="13"/>
        <v>2.1908571428571428</v>
      </c>
      <c r="M137" s="13" t="s">
        <v>71</v>
      </c>
    </row>
    <row r="138" spans="1:13" x14ac:dyDescent="0.25">
      <c r="A138" s="1">
        <v>96</v>
      </c>
      <c r="B138" s="47">
        <v>45767</v>
      </c>
      <c r="C138" s="66">
        <v>34242122</v>
      </c>
      <c r="D138" s="125">
        <v>58.1</v>
      </c>
      <c r="E138" s="5">
        <v>21.843</v>
      </c>
      <c r="F138" s="5">
        <v>23.369</v>
      </c>
      <c r="G138" s="28">
        <f>F138-E138</f>
        <v>1.5259999999999998</v>
      </c>
      <c r="H138" s="16">
        <f>G138*0.8598</f>
        <v>1.3120547999999999</v>
      </c>
      <c r="I138" s="19"/>
      <c r="J138" s="16">
        <f>D138/($E$18-$E$19)*$J$17</f>
        <v>4.3259271345653716E-2</v>
      </c>
      <c r="K138" s="19">
        <f t="shared" si="13"/>
        <v>1.3553140713456535</v>
      </c>
      <c r="M138" s="13" t="s">
        <v>69</v>
      </c>
    </row>
    <row r="139" spans="1:13" x14ac:dyDescent="0.25">
      <c r="A139" s="1">
        <v>97</v>
      </c>
      <c r="B139" s="33"/>
      <c r="C139" s="66">
        <v>34242128</v>
      </c>
      <c r="D139" s="125">
        <v>57.5</v>
      </c>
      <c r="E139" s="5">
        <v>44.313000000000002</v>
      </c>
      <c r="F139" s="5">
        <v>45.844999999999999</v>
      </c>
      <c r="G139" s="28"/>
      <c r="H139" s="16">
        <f t="shared" si="14"/>
        <v>0</v>
      </c>
      <c r="I139" s="16">
        <f>((D139*0.015)*12)/7</f>
        <v>1.4785714285714284</v>
      </c>
      <c r="J139" s="16"/>
      <c r="K139" s="19">
        <f t="shared" si="13"/>
        <v>1.4785714285714284</v>
      </c>
      <c r="M139" s="13" t="s">
        <v>71</v>
      </c>
    </row>
    <row r="140" spans="1:13" x14ac:dyDescent="0.25">
      <c r="A140" s="1">
        <v>98</v>
      </c>
      <c r="B140" s="47" t="s">
        <v>59</v>
      </c>
      <c r="C140" s="66" t="s">
        <v>110</v>
      </c>
      <c r="D140" s="125">
        <v>77</v>
      </c>
      <c r="E140" s="39">
        <v>2.1139999999999999</v>
      </c>
      <c r="F140" s="39">
        <v>3.0739999999999998</v>
      </c>
      <c r="G140" s="28"/>
      <c r="H140" s="16">
        <f>F140-E140</f>
        <v>0.96</v>
      </c>
      <c r="I140" s="16"/>
      <c r="J140" s="16">
        <f t="shared" ref="J140:J146" si="15">D140/($E$18-$E$19)*$J$17</f>
        <v>5.7331564433998901E-2</v>
      </c>
      <c r="K140" s="19">
        <f t="shared" si="13"/>
        <v>1.0173315644339989</v>
      </c>
      <c r="M140" s="13" t="s">
        <v>69</v>
      </c>
    </row>
    <row r="141" spans="1:13" x14ac:dyDescent="0.25">
      <c r="A141" s="1">
        <v>99</v>
      </c>
      <c r="B141" s="47">
        <v>45767</v>
      </c>
      <c r="C141" s="66">
        <v>34242441</v>
      </c>
      <c r="D141" s="125">
        <v>85.4</v>
      </c>
      <c r="E141" s="5">
        <v>13.664</v>
      </c>
      <c r="F141" s="5">
        <v>13.664</v>
      </c>
      <c r="G141" s="28">
        <f>F141-E141</f>
        <v>0</v>
      </c>
      <c r="H141" s="16">
        <f t="shared" ref="H141:H142" si="16">G141*0.8598</f>
        <v>0</v>
      </c>
      <c r="I141" s="16"/>
      <c r="J141" s="16">
        <f t="shared" si="15"/>
        <v>6.3585916917707874E-2</v>
      </c>
      <c r="K141" s="19">
        <f t="shared" si="13"/>
        <v>6.3585916917707874E-2</v>
      </c>
      <c r="M141" s="13" t="s">
        <v>69</v>
      </c>
    </row>
    <row r="142" spans="1:13" x14ac:dyDescent="0.25">
      <c r="A142" s="1">
        <v>100</v>
      </c>
      <c r="B142" s="47">
        <v>45585</v>
      </c>
      <c r="C142" s="66">
        <v>34242395</v>
      </c>
      <c r="D142" s="125">
        <v>58.2</v>
      </c>
      <c r="E142" s="5">
        <v>28.055</v>
      </c>
      <c r="F142" s="5">
        <v>28.53</v>
      </c>
      <c r="G142" s="28">
        <f>F142-E142</f>
        <v>0.47500000000000142</v>
      </c>
      <c r="H142" s="16">
        <f t="shared" si="16"/>
        <v>0.40840500000000124</v>
      </c>
      <c r="I142" s="19"/>
      <c r="J142" s="16">
        <f t="shared" si="15"/>
        <v>4.3333727922840723E-2</v>
      </c>
      <c r="K142" s="19">
        <f t="shared" si="13"/>
        <v>0.45173872792284198</v>
      </c>
      <c r="M142" s="13" t="s">
        <v>69</v>
      </c>
    </row>
    <row r="143" spans="1:13" x14ac:dyDescent="0.25">
      <c r="A143" s="1">
        <v>101</v>
      </c>
      <c r="B143" s="47">
        <v>45459</v>
      </c>
      <c r="C143" s="10" t="s">
        <v>96</v>
      </c>
      <c r="D143" s="125">
        <v>59</v>
      </c>
      <c r="E143" s="39">
        <v>0.68500000000000005</v>
      </c>
      <c r="F143" s="39">
        <v>0.68500000000000005</v>
      </c>
      <c r="G143" s="28"/>
      <c r="H143" s="16">
        <f>F143-E143</f>
        <v>0</v>
      </c>
      <c r="I143" s="16"/>
      <c r="J143" s="16">
        <f t="shared" si="15"/>
        <v>4.3929380540336814E-2</v>
      </c>
      <c r="K143" s="19">
        <f t="shared" si="13"/>
        <v>4.3929380540336814E-2</v>
      </c>
      <c r="M143" s="13" t="s">
        <v>69</v>
      </c>
    </row>
    <row r="144" spans="1:13" x14ac:dyDescent="0.25">
      <c r="A144" s="1">
        <v>102</v>
      </c>
      <c r="B144" s="47">
        <v>45809</v>
      </c>
      <c r="C144" s="66">
        <v>34242123</v>
      </c>
      <c r="D144" s="125">
        <v>77.599999999999994</v>
      </c>
      <c r="E144" s="5">
        <v>18.199000000000002</v>
      </c>
      <c r="F144" s="5">
        <v>18.568000000000001</v>
      </c>
      <c r="G144" s="28">
        <f>F144-E144</f>
        <v>0.36899999999999977</v>
      </c>
      <c r="H144" s="16">
        <f>G144*0.8598</f>
        <v>0.31726619999999983</v>
      </c>
      <c r="I144" s="19"/>
      <c r="J144" s="16">
        <f t="shared" si="15"/>
        <v>5.7778303897120964E-2</v>
      </c>
      <c r="K144" s="19">
        <f t="shared" si="13"/>
        <v>0.3750445038971208</v>
      </c>
      <c r="M144" s="13" t="s">
        <v>69</v>
      </c>
    </row>
    <row r="145" spans="1:14" x14ac:dyDescent="0.25">
      <c r="A145" s="1">
        <v>103</v>
      </c>
      <c r="B145" s="47">
        <v>45327</v>
      </c>
      <c r="C145" s="10" t="s">
        <v>97</v>
      </c>
      <c r="D145" s="125">
        <v>85.4</v>
      </c>
      <c r="E145" s="5">
        <f>7.264+0.769</f>
        <v>8.0329999999999995</v>
      </c>
      <c r="F145" s="5">
        <v>9.7070000000000007</v>
      </c>
      <c r="G145" s="28"/>
      <c r="H145" s="16">
        <f>F145-E145</f>
        <v>1.6740000000000013</v>
      </c>
      <c r="I145" s="16"/>
      <c r="J145" s="16">
        <f t="shared" si="15"/>
        <v>6.3585916917707874E-2</v>
      </c>
      <c r="K145" s="19">
        <f>H145+I145+J145</f>
        <v>1.737585916917709</v>
      </c>
      <c r="M145" s="13" t="s">
        <v>69</v>
      </c>
    </row>
    <row r="146" spans="1:14" x14ac:dyDescent="0.25">
      <c r="A146" s="1">
        <v>104</v>
      </c>
      <c r="B146" s="73">
        <v>45951</v>
      </c>
      <c r="C146" s="70">
        <v>43242242</v>
      </c>
      <c r="D146" s="59">
        <v>58.8</v>
      </c>
      <c r="E146" s="5">
        <v>42.110999999999997</v>
      </c>
      <c r="F146" s="5">
        <v>42.843000000000004</v>
      </c>
      <c r="G146" s="28">
        <f>F146-E146</f>
        <v>0.73200000000000642</v>
      </c>
      <c r="H146" s="16">
        <f>G146*0.8598</f>
        <v>0.62937360000000553</v>
      </c>
      <c r="I146" s="16"/>
      <c r="J146" s="16">
        <f t="shared" si="15"/>
        <v>4.3780467385962793E-2</v>
      </c>
      <c r="K146" s="19">
        <f t="shared" si="13"/>
        <v>0.67315406738596828</v>
      </c>
      <c r="M146" s="13" t="s">
        <v>69</v>
      </c>
    </row>
    <row r="147" spans="1:14" x14ac:dyDescent="0.25">
      <c r="A147" s="1">
        <v>105</v>
      </c>
      <c r="B147" s="34"/>
      <c r="C147" s="66">
        <v>34242113</v>
      </c>
      <c r="D147" s="125">
        <v>59.2</v>
      </c>
      <c r="E147" s="5">
        <v>31.309000000000001</v>
      </c>
      <c r="F147" s="5">
        <v>31.309000000000001</v>
      </c>
      <c r="G147" s="28"/>
      <c r="H147" s="16">
        <f t="shared" si="14"/>
        <v>0</v>
      </c>
      <c r="I147" s="16">
        <f>((D147*0.015)*12)/7</f>
        <v>1.5222857142857145</v>
      </c>
      <c r="J147" s="16"/>
      <c r="K147" s="19">
        <f t="shared" si="13"/>
        <v>1.5222857142857145</v>
      </c>
      <c r="M147" s="13" t="s">
        <v>71</v>
      </c>
      <c r="N147" s="12"/>
    </row>
    <row r="148" spans="1:14" x14ac:dyDescent="0.25">
      <c r="A148" s="1">
        <v>106</v>
      </c>
      <c r="B148" s="47">
        <v>45703</v>
      </c>
      <c r="C148" s="67">
        <v>34242119</v>
      </c>
      <c r="D148" s="125">
        <v>76.8</v>
      </c>
      <c r="E148" s="5">
        <v>50.37</v>
      </c>
      <c r="F148" s="5">
        <v>51.860999999999997</v>
      </c>
      <c r="G148" s="28">
        <f>F148-E148</f>
        <v>1.4909999999999997</v>
      </c>
      <c r="H148" s="16">
        <f>G148*0.8598</f>
        <v>1.2819617999999997</v>
      </c>
      <c r="I148" s="19"/>
      <c r="J148" s="16">
        <f>D148/($E$18-$E$19)*$J$17</f>
        <v>5.7182651279624873E-2</v>
      </c>
      <c r="K148" s="19">
        <f t="shared" si="13"/>
        <v>1.3391444512796247</v>
      </c>
      <c r="L148" s="24"/>
      <c r="M148" s="13" t="s">
        <v>69</v>
      </c>
    </row>
    <row r="149" spans="1:14" x14ac:dyDescent="0.25">
      <c r="A149" s="1">
        <v>107</v>
      </c>
      <c r="B149" s="33"/>
      <c r="C149" s="66">
        <v>34242112</v>
      </c>
      <c r="D149" s="125">
        <v>85.1</v>
      </c>
      <c r="E149" s="5">
        <v>45.948999999999998</v>
      </c>
      <c r="F149" s="5">
        <v>47.066000000000003</v>
      </c>
      <c r="G149" s="28"/>
      <c r="H149" s="16">
        <f t="shared" si="14"/>
        <v>0</v>
      </c>
      <c r="I149" s="16">
        <f>((D149*0.015)*12)/7</f>
        <v>2.1882857142857142</v>
      </c>
      <c r="J149" s="16"/>
      <c r="K149" s="19">
        <f t="shared" si="13"/>
        <v>2.1882857142857142</v>
      </c>
      <c r="M149" s="13" t="s">
        <v>71</v>
      </c>
    </row>
    <row r="150" spans="1:14" x14ac:dyDescent="0.25">
      <c r="A150" s="1">
        <v>108</v>
      </c>
      <c r="B150" s="47">
        <v>45718</v>
      </c>
      <c r="C150" s="66">
        <v>34242115</v>
      </c>
      <c r="D150" s="125">
        <v>58.5</v>
      </c>
      <c r="E150" s="5">
        <v>16.963999999999999</v>
      </c>
      <c r="F150" s="5">
        <v>17.068999999999999</v>
      </c>
      <c r="G150" s="28">
        <f>F150-E150</f>
        <v>0.10500000000000043</v>
      </c>
      <c r="H150" s="16">
        <f t="shared" si="14"/>
        <v>9.0279000000000373E-2</v>
      </c>
      <c r="I150" s="16"/>
      <c r="J150" s="16">
        <f t="shared" ref="J150:J157" si="17">D150/($E$18-$E$19)*$J$17</f>
        <v>4.3557097654401765E-2</v>
      </c>
      <c r="K150" s="19">
        <f t="shared" si="13"/>
        <v>0.13383609765440213</v>
      </c>
      <c r="L150" s="24"/>
      <c r="M150" s="13" t="s">
        <v>69</v>
      </c>
    </row>
    <row r="151" spans="1:14" x14ac:dyDescent="0.25">
      <c r="A151" s="1">
        <v>109</v>
      </c>
      <c r="B151" s="47">
        <v>45641</v>
      </c>
      <c r="C151" s="66">
        <v>34242118</v>
      </c>
      <c r="D151" s="125">
        <v>59.1</v>
      </c>
      <c r="E151" s="5">
        <v>41.250999999999998</v>
      </c>
      <c r="F151" s="5">
        <v>42.12</v>
      </c>
      <c r="G151" s="28">
        <f>F151-E151</f>
        <v>0.86899999999999977</v>
      </c>
      <c r="H151" s="16">
        <f t="shared" si="14"/>
        <v>0.74716619999999978</v>
      </c>
      <c r="I151" s="19"/>
      <c r="J151" s="16">
        <f t="shared" si="17"/>
        <v>4.4003837117523835E-2</v>
      </c>
      <c r="K151" s="19">
        <f t="shared" si="13"/>
        <v>0.79117003711752365</v>
      </c>
      <c r="M151" s="13" t="s">
        <v>69</v>
      </c>
    </row>
    <row r="152" spans="1:14" x14ac:dyDescent="0.25">
      <c r="A152" s="1">
        <v>110</v>
      </c>
      <c r="B152" s="47">
        <v>45955</v>
      </c>
      <c r="C152" s="66" t="s">
        <v>111</v>
      </c>
      <c r="D152" s="125">
        <v>77.099999999999994</v>
      </c>
      <c r="E152" s="39">
        <f>0.5596+1.1565</f>
        <v>1.7161</v>
      </c>
      <c r="F152" s="39">
        <v>1.7474000000000001</v>
      </c>
      <c r="G152" s="28"/>
      <c r="H152" s="16">
        <f t="shared" ref="H152:H153" si="18">F152-E152</f>
        <v>3.1300000000000106E-2</v>
      </c>
      <c r="I152" s="16"/>
      <c r="J152" s="16">
        <f t="shared" si="17"/>
        <v>5.7406021011185908E-2</v>
      </c>
      <c r="K152" s="19">
        <f t="shared" si="13"/>
        <v>8.870602101118602E-2</v>
      </c>
      <c r="M152" s="13" t="s">
        <v>69</v>
      </c>
    </row>
    <row r="153" spans="1:14" x14ac:dyDescent="0.25">
      <c r="A153" s="1">
        <v>111</v>
      </c>
      <c r="B153" s="47">
        <v>45327</v>
      </c>
      <c r="C153" s="10" t="s">
        <v>58</v>
      </c>
      <c r="D153" s="125">
        <v>85.1</v>
      </c>
      <c r="E153" s="39">
        <v>7.5590000000000002</v>
      </c>
      <c r="F153" s="39">
        <v>8.2490000000000006</v>
      </c>
      <c r="G153" s="58"/>
      <c r="H153" s="16">
        <f t="shared" si="18"/>
        <v>0.69000000000000039</v>
      </c>
      <c r="I153" s="19"/>
      <c r="J153" s="16">
        <f t="shared" si="17"/>
        <v>6.3362547186146839E-2</v>
      </c>
      <c r="K153" s="19">
        <f t="shared" si="13"/>
        <v>0.75336254718614726</v>
      </c>
      <c r="M153" s="13" t="s">
        <v>69</v>
      </c>
    </row>
    <row r="154" spans="1:14" x14ac:dyDescent="0.25">
      <c r="A154" s="1">
        <v>112</v>
      </c>
      <c r="B154" s="47">
        <v>45622</v>
      </c>
      <c r="C154" s="66">
        <v>34242117</v>
      </c>
      <c r="D154" s="125">
        <v>57.5</v>
      </c>
      <c r="E154" s="5">
        <v>20.609000000000002</v>
      </c>
      <c r="F154" s="5">
        <v>24.488</v>
      </c>
      <c r="G154" s="28">
        <f>F154-E154</f>
        <v>3.8789999999999978</v>
      </c>
      <c r="H154" s="16">
        <f t="shared" ref="H154:H182" si="19">G154*0.8598</f>
        <v>3.3351641999999981</v>
      </c>
      <c r="I154" s="19"/>
      <c r="J154" s="16">
        <f t="shared" si="17"/>
        <v>4.2812531882531646E-2</v>
      </c>
      <c r="K154" s="19">
        <f t="shared" si="13"/>
        <v>3.37797673188253</v>
      </c>
      <c r="M154" s="13" t="s">
        <v>69</v>
      </c>
    </row>
    <row r="155" spans="1:14" x14ac:dyDescent="0.25">
      <c r="A155" s="1">
        <v>113</v>
      </c>
      <c r="B155" s="47">
        <v>45957</v>
      </c>
      <c r="C155" s="66">
        <v>34242125</v>
      </c>
      <c r="D155" s="125">
        <v>58.9</v>
      </c>
      <c r="E155" s="5">
        <v>21.346</v>
      </c>
      <c r="F155" s="5">
        <v>22.286000000000001</v>
      </c>
      <c r="G155" s="28">
        <f>F155-E155</f>
        <v>0.94000000000000128</v>
      </c>
      <c r="H155" s="16">
        <f t="shared" si="19"/>
        <v>0.80821200000000115</v>
      </c>
      <c r="I155" s="16"/>
      <c r="J155" s="16">
        <f t="shared" si="17"/>
        <v>4.3854923963149807E-2</v>
      </c>
      <c r="K155" s="19">
        <f t="shared" si="13"/>
        <v>0.85206692396315098</v>
      </c>
      <c r="M155" s="13" t="s">
        <v>69</v>
      </c>
    </row>
    <row r="156" spans="1:14" x14ac:dyDescent="0.25">
      <c r="A156" s="1">
        <v>114</v>
      </c>
      <c r="B156" s="48">
        <v>45875</v>
      </c>
      <c r="C156" s="66">
        <v>34242154</v>
      </c>
      <c r="D156" s="125">
        <v>77.099999999999994</v>
      </c>
      <c r="E156" s="5">
        <v>6.444</v>
      </c>
      <c r="F156" s="5">
        <v>6.444</v>
      </c>
      <c r="G156" s="28">
        <f>F156-E156</f>
        <v>0</v>
      </c>
      <c r="H156" s="16">
        <f t="shared" si="19"/>
        <v>0</v>
      </c>
      <c r="I156" s="16"/>
      <c r="J156" s="16">
        <f t="shared" si="17"/>
        <v>5.7406021011185908E-2</v>
      </c>
      <c r="K156" s="19">
        <f t="shared" si="13"/>
        <v>5.7406021011185908E-2</v>
      </c>
      <c r="M156" s="13" t="s">
        <v>69</v>
      </c>
    </row>
    <row r="157" spans="1:14" x14ac:dyDescent="0.25">
      <c r="A157" s="1">
        <v>115</v>
      </c>
      <c r="B157" s="47">
        <v>45912</v>
      </c>
      <c r="C157" s="66">
        <v>34242149</v>
      </c>
      <c r="D157" s="125">
        <v>85.3</v>
      </c>
      <c r="E157" s="5">
        <v>33.701999999999998</v>
      </c>
      <c r="F157" s="5">
        <v>34.527000000000001</v>
      </c>
      <c r="G157" s="28">
        <f>F157-E157</f>
        <v>0.82500000000000284</v>
      </c>
      <c r="H157" s="16">
        <f t="shared" si="19"/>
        <v>0.70933500000000249</v>
      </c>
      <c r="I157" s="19"/>
      <c r="J157" s="16">
        <f t="shared" si="17"/>
        <v>6.3511460340520853E-2</v>
      </c>
      <c r="K157" s="19">
        <f t="shared" si="13"/>
        <v>0.7728464603405234</v>
      </c>
      <c r="M157" s="13" t="s">
        <v>69</v>
      </c>
    </row>
    <row r="158" spans="1:14" x14ac:dyDescent="0.25">
      <c r="A158" s="1">
        <v>116</v>
      </c>
      <c r="B158" s="33"/>
      <c r="C158" s="66">
        <v>34242157</v>
      </c>
      <c r="D158" s="125">
        <v>59.6</v>
      </c>
      <c r="E158" s="5">
        <v>27.492000000000001</v>
      </c>
      <c r="F158" s="5">
        <v>25.271000000000001</v>
      </c>
      <c r="G158" s="28"/>
      <c r="H158" s="16">
        <f t="shared" si="19"/>
        <v>0</v>
      </c>
      <c r="I158" s="16">
        <f>((D158*0.015)*12)/7</f>
        <v>1.5325714285714285</v>
      </c>
      <c r="J158" s="16"/>
      <c r="K158" s="19">
        <f t="shared" si="13"/>
        <v>1.5325714285714285</v>
      </c>
      <c r="M158" s="13" t="s">
        <v>71</v>
      </c>
    </row>
    <row r="159" spans="1:14" x14ac:dyDescent="0.25">
      <c r="A159" s="1">
        <v>117</v>
      </c>
      <c r="B159" s="47">
        <v>45732</v>
      </c>
      <c r="C159" s="66">
        <v>41341239</v>
      </c>
      <c r="D159" s="125">
        <v>59</v>
      </c>
      <c r="E159" s="5">
        <v>13.081</v>
      </c>
      <c r="F159" s="5">
        <v>13.278</v>
      </c>
      <c r="G159" s="28">
        <f>F159-E159</f>
        <v>0.19700000000000095</v>
      </c>
      <c r="H159" s="16">
        <f t="shared" si="19"/>
        <v>0.16938060000000082</v>
      </c>
      <c r="I159" s="19"/>
      <c r="J159" s="16">
        <f>D159/($E$18-$E$19)*$J$17</f>
        <v>4.3929380540336814E-2</v>
      </c>
      <c r="K159" s="19">
        <f t="shared" si="13"/>
        <v>0.21330998054033765</v>
      </c>
      <c r="M159" s="13" t="s">
        <v>69</v>
      </c>
    </row>
    <row r="160" spans="1:14" x14ac:dyDescent="0.25">
      <c r="A160" s="1">
        <v>118</v>
      </c>
      <c r="B160" s="47">
        <v>45718</v>
      </c>
      <c r="C160" s="66">
        <v>34242156</v>
      </c>
      <c r="D160" s="125">
        <v>78</v>
      </c>
      <c r="E160" s="5">
        <v>10.371</v>
      </c>
      <c r="F160" s="5">
        <v>10.646000000000001</v>
      </c>
      <c r="G160" s="28">
        <f>F160-E160</f>
        <v>0.27500000000000036</v>
      </c>
      <c r="H160" s="16">
        <f t="shared" si="19"/>
        <v>0.23644500000000032</v>
      </c>
      <c r="I160" s="16"/>
      <c r="J160" s="16">
        <f>D160/($E$18-$E$19)*$J$17</f>
        <v>5.8076130205869013E-2</v>
      </c>
      <c r="K160" s="19">
        <f t="shared" si="13"/>
        <v>0.29452113020586934</v>
      </c>
      <c r="M160" s="13" t="s">
        <v>69</v>
      </c>
    </row>
    <row r="161" spans="1:15" x14ac:dyDescent="0.25">
      <c r="A161" s="1">
        <v>119</v>
      </c>
      <c r="B161" s="47">
        <v>45755</v>
      </c>
      <c r="C161" s="66">
        <v>34242162</v>
      </c>
      <c r="D161" s="125">
        <v>85.5</v>
      </c>
      <c r="E161" s="5">
        <v>32.506</v>
      </c>
      <c r="F161" s="5">
        <v>32.942999999999998</v>
      </c>
      <c r="G161" s="28">
        <f>F161-E161</f>
        <v>0.43699999999999761</v>
      </c>
      <c r="H161" s="16">
        <f t="shared" si="19"/>
        <v>0.37573259999999797</v>
      </c>
      <c r="I161" s="19"/>
      <c r="J161" s="16">
        <f>D161/($E$18-$E$19)*$J$17</f>
        <v>6.3660373494894881E-2</v>
      </c>
      <c r="K161" s="19">
        <f t="shared" si="13"/>
        <v>0.43939297349489287</v>
      </c>
      <c r="M161" s="13" t="s">
        <v>69</v>
      </c>
    </row>
    <row r="162" spans="1:15" x14ac:dyDescent="0.25">
      <c r="A162" s="1">
        <v>120</v>
      </c>
      <c r="B162" s="47">
        <v>45922</v>
      </c>
      <c r="C162" s="66">
        <v>20140179</v>
      </c>
      <c r="D162" s="125">
        <v>58.9</v>
      </c>
      <c r="E162" s="5">
        <v>30.765999999999998</v>
      </c>
      <c r="F162" s="5">
        <v>34.427999999999997</v>
      </c>
      <c r="G162" s="28">
        <f>F162-E162</f>
        <v>3.661999999999999</v>
      </c>
      <c r="H162" s="16">
        <f t="shared" si="19"/>
        <v>3.148587599999999</v>
      </c>
      <c r="I162" s="19"/>
      <c r="J162" s="16">
        <f>D162/($E$18-$E$19)*$J$17</f>
        <v>4.3854923963149807E-2</v>
      </c>
      <c r="K162" s="19">
        <f t="shared" si="13"/>
        <v>3.1924425239631486</v>
      </c>
      <c r="M162" s="13" t="s">
        <v>69</v>
      </c>
    </row>
    <row r="163" spans="1:15" x14ac:dyDescent="0.25">
      <c r="A163" s="1">
        <v>121</v>
      </c>
      <c r="B163" s="33"/>
      <c r="C163" s="66">
        <v>34242161</v>
      </c>
      <c r="D163" s="125">
        <v>59.2</v>
      </c>
      <c r="E163" s="5">
        <v>34.148000000000003</v>
      </c>
      <c r="F163" s="5">
        <v>35.01</v>
      </c>
      <c r="G163" s="28"/>
      <c r="H163" s="16">
        <f t="shared" si="19"/>
        <v>0</v>
      </c>
      <c r="I163" s="16">
        <f>((D163*0.015)*12)/7</f>
        <v>1.5222857142857145</v>
      </c>
      <c r="J163" s="16"/>
      <c r="K163" s="19">
        <f t="shared" si="13"/>
        <v>1.5222857142857145</v>
      </c>
      <c r="M163" s="13" t="s">
        <v>71</v>
      </c>
    </row>
    <row r="164" spans="1:15" x14ac:dyDescent="0.25">
      <c r="A164" s="1">
        <v>122</v>
      </c>
      <c r="B164" s="34"/>
      <c r="C164" s="66">
        <v>34242151</v>
      </c>
      <c r="D164" s="125">
        <v>78.099999999999994</v>
      </c>
      <c r="E164" s="5">
        <v>29.765999999999998</v>
      </c>
      <c r="F164" s="5">
        <v>30.975999999999999</v>
      </c>
      <c r="G164" s="28"/>
      <c r="H164" s="16">
        <f t="shared" si="19"/>
        <v>0</v>
      </c>
      <c r="I164" s="16">
        <f>((D164*0.015)*12)/7</f>
        <v>2.0082857142857136</v>
      </c>
      <c r="J164" s="16"/>
      <c r="K164" s="19">
        <f t="shared" si="13"/>
        <v>2.0082857142857136</v>
      </c>
      <c r="M164" s="13" t="s">
        <v>71</v>
      </c>
    </row>
    <row r="165" spans="1:15" x14ac:dyDescent="0.25">
      <c r="A165" s="1">
        <v>123</v>
      </c>
      <c r="B165" s="47">
        <v>45748</v>
      </c>
      <c r="C165" s="66">
        <v>34242148</v>
      </c>
      <c r="D165" s="125">
        <v>85.2</v>
      </c>
      <c r="E165" s="5">
        <v>14.731999999999999</v>
      </c>
      <c r="F165" s="5">
        <v>15.144</v>
      </c>
      <c r="G165" s="28">
        <f>F165-E165</f>
        <v>0.41200000000000081</v>
      </c>
      <c r="H165" s="16">
        <f t="shared" si="19"/>
        <v>0.35423760000000071</v>
      </c>
      <c r="I165" s="19"/>
      <c r="J165" s="16">
        <f>D165/($E$18-$E$19)*$J$17</f>
        <v>6.3437003763333846E-2</v>
      </c>
      <c r="K165" s="19">
        <f t="shared" si="13"/>
        <v>0.41767460376333454</v>
      </c>
      <c r="M165" s="13" t="s">
        <v>69</v>
      </c>
    </row>
    <row r="166" spans="1:15" x14ac:dyDescent="0.25">
      <c r="A166" s="1">
        <v>124</v>
      </c>
      <c r="B166" s="47">
        <v>45747</v>
      </c>
      <c r="C166" s="66">
        <v>34242163</v>
      </c>
      <c r="D166" s="125">
        <v>59.3</v>
      </c>
      <c r="E166" s="5">
        <v>35.313000000000002</v>
      </c>
      <c r="F166" s="5">
        <v>36.006</v>
      </c>
      <c r="G166" s="28">
        <f>F166-E166</f>
        <v>0.69299999999999784</v>
      </c>
      <c r="H166" s="16">
        <f t="shared" si="19"/>
        <v>0.59584139999999819</v>
      </c>
      <c r="I166" s="19"/>
      <c r="J166" s="16">
        <f>D166/($E$18-$E$19)*$J$17</f>
        <v>4.4152750271897856E-2</v>
      </c>
      <c r="K166" s="19">
        <f t="shared" si="13"/>
        <v>0.63999415027189599</v>
      </c>
      <c r="M166" s="13" t="s">
        <v>69</v>
      </c>
    </row>
    <row r="167" spans="1:15" x14ac:dyDescent="0.25">
      <c r="A167" s="1">
        <v>125</v>
      </c>
      <c r="B167" s="47">
        <v>45944</v>
      </c>
      <c r="C167" s="66">
        <v>34242153</v>
      </c>
      <c r="D167" s="125">
        <v>59.2</v>
      </c>
      <c r="E167" s="5">
        <v>40.313000000000002</v>
      </c>
      <c r="F167" s="5">
        <v>41.668999999999997</v>
      </c>
      <c r="G167" s="28">
        <f>F167-E167</f>
        <v>1.3559999999999945</v>
      </c>
      <c r="H167" s="16">
        <f t="shared" si="19"/>
        <v>1.1658887999999954</v>
      </c>
      <c r="I167" s="19"/>
      <c r="J167" s="16">
        <f>D167/($E$18-$E$19)*$J$17</f>
        <v>4.4078293694710849E-2</v>
      </c>
      <c r="K167" s="19">
        <f t="shared" si="13"/>
        <v>1.2099670936947062</v>
      </c>
      <c r="M167" s="13" t="s">
        <v>69</v>
      </c>
    </row>
    <row r="168" spans="1:15" x14ac:dyDescent="0.25">
      <c r="A168" s="1">
        <v>126</v>
      </c>
      <c r="B168" s="48">
        <v>45875</v>
      </c>
      <c r="C168" s="66">
        <v>20140213</v>
      </c>
      <c r="D168" s="125">
        <v>77.599999999999994</v>
      </c>
      <c r="E168" s="5">
        <v>6.8339999999999996</v>
      </c>
      <c r="F168" s="5">
        <v>6.8339999999999996</v>
      </c>
      <c r="G168" s="28">
        <f>F168-E168</f>
        <v>0</v>
      </c>
      <c r="H168" s="16">
        <f t="shared" si="19"/>
        <v>0</v>
      </c>
      <c r="I168" s="16"/>
      <c r="J168" s="16">
        <f>D168/($E$18-$E$19)*$J$17</f>
        <v>5.7778303897120964E-2</v>
      </c>
      <c r="K168" s="19">
        <f t="shared" si="13"/>
        <v>5.7778303897120964E-2</v>
      </c>
      <c r="M168" s="13" t="s">
        <v>69</v>
      </c>
    </row>
    <row r="169" spans="1:15" x14ac:dyDescent="0.25">
      <c r="A169" s="1">
        <v>127</v>
      </c>
      <c r="B169" s="33"/>
      <c r="C169" s="66">
        <v>34242152</v>
      </c>
      <c r="D169" s="124">
        <v>85.2</v>
      </c>
      <c r="E169" s="6">
        <v>77.367999999999995</v>
      </c>
      <c r="F169" s="6">
        <v>79.182000000000002</v>
      </c>
      <c r="G169" s="5"/>
      <c r="H169" s="16">
        <f t="shared" si="19"/>
        <v>0</v>
      </c>
      <c r="I169" s="16">
        <f>((D169*0.015)*12)/7</f>
        <v>2.1908571428571428</v>
      </c>
      <c r="J169" s="16"/>
      <c r="K169" s="19">
        <f t="shared" si="13"/>
        <v>2.1908571428571428</v>
      </c>
      <c r="M169" s="13" t="s">
        <v>71</v>
      </c>
    </row>
    <row r="170" spans="1:15" x14ac:dyDescent="0.25">
      <c r="A170" s="1">
        <v>128</v>
      </c>
      <c r="B170" s="33"/>
      <c r="C170" s="66">
        <v>34242147</v>
      </c>
      <c r="D170" s="124">
        <v>58.9</v>
      </c>
      <c r="E170" s="5">
        <v>24.081</v>
      </c>
      <c r="F170" s="5">
        <v>24.510999999999999</v>
      </c>
      <c r="G170" s="5"/>
      <c r="H170" s="16">
        <f t="shared" si="19"/>
        <v>0</v>
      </c>
      <c r="I170" s="16">
        <f>((D170*0.015)*12)/7</f>
        <v>1.5145714285714287</v>
      </c>
      <c r="J170" s="16"/>
      <c r="K170" s="19">
        <f t="shared" si="13"/>
        <v>1.5145714285714287</v>
      </c>
      <c r="M170" s="13" t="s">
        <v>71</v>
      </c>
    </row>
    <row r="171" spans="1:15" x14ac:dyDescent="0.25">
      <c r="A171" s="1">
        <v>129</v>
      </c>
      <c r="B171" s="47">
        <v>45984</v>
      </c>
      <c r="C171" s="66" t="s">
        <v>112</v>
      </c>
      <c r="D171" s="124">
        <v>58.6</v>
      </c>
      <c r="E171" s="39">
        <v>1.89</v>
      </c>
      <c r="F171" s="39">
        <v>2.6850000000000001</v>
      </c>
      <c r="G171" s="5"/>
      <c r="H171" s="16">
        <f>F171-E171</f>
        <v>0.79500000000000015</v>
      </c>
      <c r="I171" s="16"/>
      <c r="J171" s="16">
        <f>D171/($E$18-$E$19)*$J$17</f>
        <v>4.3631554231588772E-2</v>
      </c>
      <c r="K171" s="19">
        <f t="shared" si="13"/>
        <v>0.83863155423158897</v>
      </c>
      <c r="M171" s="13" t="s">
        <v>69</v>
      </c>
    </row>
    <row r="172" spans="1:15" ht="15.75" thickBot="1" x14ac:dyDescent="0.3">
      <c r="A172" s="15">
        <v>130</v>
      </c>
      <c r="B172" s="48">
        <v>45875</v>
      </c>
      <c r="C172" s="68">
        <v>34242150</v>
      </c>
      <c r="D172" s="90">
        <v>77.599999999999994</v>
      </c>
      <c r="E172" s="8">
        <v>6.798</v>
      </c>
      <c r="F172" s="8">
        <v>6.798</v>
      </c>
      <c r="G172" s="5">
        <f>F172-E172</f>
        <v>0</v>
      </c>
      <c r="H172" s="16">
        <f>G172*0.8598</f>
        <v>0</v>
      </c>
      <c r="I172" s="16"/>
      <c r="J172" s="16">
        <f>D172/($E$18-$E$19)*$J$17</f>
        <v>5.7778303897120964E-2</v>
      </c>
      <c r="K172" s="19">
        <f t="shared" si="13"/>
        <v>5.7778303897120964E-2</v>
      </c>
      <c r="M172" s="13" t="s">
        <v>69</v>
      </c>
    </row>
    <row r="173" spans="1:15" ht="15.75" thickBot="1" x14ac:dyDescent="0.3">
      <c r="A173" s="219" t="s">
        <v>75</v>
      </c>
      <c r="B173" s="220"/>
      <c r="C173" s="220"/>
      <c r="D173" s="92">
        <f>SUM(D117:D172)</f>
        <v>3918.9999999999991</v>
      </c>
      <c r="E173" s="221" t="s">
        <v>76</v>
      </c>
      <c r="F173" s="221"/>
      <c r="G173" s="221"/>
      <c r="H173" s="64">
        <f>SUM(H117:H172)</f>
        <v>29.642178800000007</v>
      </c>
      <c r="I173" s="64">
        <f>SUM(I117:I172)</f>
        <v>28.560857142857145</v>
      </c>
      <c r="J173" s="64">
        <f>SUM(J117:J172)</f>
        <v>2.0909640571428461</v>
      </c>
      <c r="K173" s="93">
        <f>SUM(K117:K172)</f>
        <v>60.294000000000004</v>
      </c>
      <c r="M173" s="13"/>
    </row>
    <row r="174" spans="1:15" x14ac:dyDescent="0.25">
      <c r="A174" s="9">
        <v>131</v>
      </c>
      <c r="B174" s="105">
        <v>45957</v>
      </c>
      <c r="C174" s="69" t="s">
        <v>113</v>
      </c>
      <c r="D174" s="132">
        <v>84.1</v>
      </c>
      <c r="E174" s="6">
        <v>3.4550000000000001</v>
      </c>
      <c r="F174" s="6">
        <v>4.8170000000000002</v>
      </c>
      <c r="G174" s="29"/>
      <c r="H174" s="16">
        <f>F174-E174</f>
        <v>1.3620000000000001</v>
      </c>
      <c r="I174" s="16"/>
      <c r="J174" s="16">
        <f>D174/($E$25-$E$26)*$J$24</f>
        <v>0.46549220622890425</v>
      </c>
      <c r="K174" s="19">
        <f>H174+I174+J174</f>
        <v>1.8274922062289043</v>
      </c>
      <c r="M174" s="13" t="s">
        <v>69</v>
      </c>
      <c r="N174" s="12"/>
      <c r="O174" s="12"/>
    </row>
    <row r="175" spans="1:15" x14ac:dyDescent="0.25">
      <c r="A175" s="1">
        <v>132</v>
      </c>
      <c r="B175" s="47">
        <v>45915</v>
      </c>
      <c r="C175" s="66">
        <v>43242256</v>
      </c>
      <c r="D175" s="125">
        <v>56.3</v>
      </c>
      <c r="E175" s="5">
        <v>30.335000000000001</v>
      </c>
      <c r="F175" s="5">
        <v>30.664000000000001</v>
      </c>
      <c r="G175" s="28">
        <f>F175-E175</f>
        <v>0.32900000000000063</v>
      </c>
      <c r="H175" s="16">
        <f t="shared" si="19"/>
        <v>0.28287420000000052</v>
      </c>
      <c r="I175" s="19"/>
      <c r="J175" s="16">
        <f>D175/($E$25-$E$26)*$J$24</f>
        <v>0.31161963389640079</v>
      </c>
      <c r="K175" s="19">
        <f t="shared" ref="K175:K225" si="20">H175+I175+J175</f>
        <v>0.59449383389640131</v>
      </c>
      <c r="M175" s="13" t="s">
        <v>69</v>
      </c>
      <c r="N175" s="12"/>
    </row>
    <row r="176" spans="1:15" x14ac:dyDescent="0.25">
      <c r="A176" s="1">
        <v>133</v>
      </c>
      <c r="B176" s="47">
        <v>45719</v>
      </c>
      <c r="C176" s="66">
        <v>43242235</v>
      </c>
      <c r="D176" s="125">
        <v>56.1</v>
      </c>
      <c r="E176" s="5">
        <v>13.827999999999999</v>
      </c>
      <c r="F176" s="5">
        <v>13.827999999999999</v>
      </c>
      <c r="G176" s="28">
        <f>F176-E176</f>
        <v>0</v>
      </c>
      <c r="H176" s="16">
        <f t="shared" si="19"/>
        <v>0</v>
      </c>
      <c r="I176" s="16"/>
      <c r="J176" s="16">
        <f t="shared" ref="J176:J178" si="21">D176/($E$25-$E$26)*$J$24</f>
        <v>0.31051263697314541</v>
      </c>
      <c r="K176" s="19">
        <f t="shared" si="20"/>
        <v>0.31051263697314541</v>
      </c>
      <c r="M176" s="13" t="s">
        <v>69</v>
      </c>
      <c r="N176" s="12"/>
    </row>
    <row r="177" spans="1:15" x14ac:dyDescent="0.25">
      <c r="A177" s="1">
        <v>134</v>
      </c>
      <c r="B177" s="47">
        <v>45825</v>
      </c>
      <c r="C177" s="66">
        <v>43242250</v>
      </c>
      <c r="D177" s="125">
        <v>85.2</v>
      </c>
      <c r="E177" s="5">
        <v>33.658999999999999</v>
      </c>
      <c r="F177" s="5">
        <v>34.168999999999997</v>
      </c>
      <c r="G177" s="28">
        <f>F177-E177</f>
        <v>0.50999999999999801</v>
      </c>
      <c r="H177" s="16">
        <f t="shared" si="19"/>
        <v>0.43849799999999828</v>
      </c>
      <c r="I177" s="19"/>
      <c r="J177" s="16">
        <f t="shared" si="21"/>
        <v>0.47158068930680908</v>
      </c>
      <c r="K177" s="19">
        <f t="shared" si="20"/>
        <v>0.91007868930680735</v>
      </c>
      <c r="M177" s="13" t="s">
        <v>69</v>
      </c>
      <c r="N177" s="12"/>
    </row>
    <row r="178" spans="1:15" x14ac:dyDescent="0.25">
      <c r="A178" s="1">
        <v>135</v>
      </c>
      <c r="B178" s="47">
        <v>45941</v>
      </c>
      <c r="C178" s="66">
        <v>34242382</v>
      </c>
      <c r="D178" s="125">
        <v>84.4</v>
      </c>
      <c r="E178" s="5">
        <v>66.156000000000006</v>
      </c>
      <c r="F178" s="5">
        <v>68.286000000000001</v>
      </c>
      <c r="G178" s="28">
        <f>F178-E178</f>
        <v>2.1299999999999955</v>
      </c>
      <c r="H178" s="16">
        <f t="shared" si="19"/>
        <v>1.8313739999999961</v>
      </c>
      <c r="I178" s="19"/>
      <c r="J178" s="16">
        <f t="shared" si="21"/>
        <v>0.46715270161378741</v>
      </c>
      <c r="K178" s="19">
        <f t="shared" si="20"/>
        <v>2.2985267016137834</v>
      </c>
      <c r="M178" s="13" t="s">
        <v>69</v>
      </c>
      <c r="N178" s="12"/>
    </row>
    <row r="179" spans="1:15" x14ac:dyDescent="0.25">
      <c r="A179" s="1">
        <v>136</v>
      </c>
      <c r="B179" s="33"/>
      <c r="C179" s="66">
        <v>43242379</v>
      </c>
      <c r="D179" s="125">
        <v>56.2</v>
      </c>
      <c r="E179" s="5">
        <v>40.926000000000002</v>
      </c>
      <c r="F179" s="5">
        <v>41.845999999999997</v>
      </c>
      <c r="G179" s="29"/>
      <c r="H179" s="16">
        <f t="shared" si="19"/>
        <v>0</v>
      </c>
      <c r="I179" s="16">
        <f>((D179*0.015)*12)/7</f>
        <v>1.4451428571428571</v>
      </c>
      <c r="J179" s="16"/>
      <c r="K179" s="19">
        <f t="shared" si="20"/>
        <v>1.4451428571428571</v>
      </c>
      <c r="M179" s="13" t="s">
        <v>71</v>
      </c>
      <c r="N179" s="12"/>
      <c r="O179" s="12"/>
    </row>
    <row r="180" spans="1:15" x14ac:dyDescent="0.25">
      <c r="A180" s="1">
        <v>137</v>
      </c>
      <c r="B180" s="47">
        <v>45580</v>
      </c>
      <c r="C180" s="66">
        <v>43242240</v>
      </c>
      <c r="D180" s="125">
        <v>55.7</v>
      </c>
      <c r="E180" s="5">
        <v>28.178000000000001</v>
      </c>
      <c r="F180" s="5">
        <v>28.893999999999998</v>
      </c>
      <c r="G180" s="28">
        <f>F180-E180</f>
        <v>0.71599999999999753</v>
      </c>
      <c r="H180" s="16">
        <f t="shared" si="19"/>
        <v>0.61561679999999785</v>
      </c>
      <c r="I180" s="19"/>
      <c r="J180" s="16">
        <f>D180/($E$25-$E$26)*$J$24</f>
        <v>0.30829864312663463</v>
      </c>
      <c r="K180" s="19">
        <f>H180+I180+J180</f>
        <v>0.92391544312663254</v>
      </c>
      <c r="M180" s="13" t="s">
        <v>69</v>
      </c>
      <c r="N180" s="12"/>
    </row>
    <row r="181" spans="1:15" x14ac:dyDescent="0.25">
      <c r="A181" s="1">
        <v>138</v>
      </c>
      <c r="B181" s="47">
        <v>45580</v>
      </c>
      <c r="C181" s="66">
        <v>43242241</v>
      </c>
      <c r="D181" s="125">
        <v>84.3</v>
      </c>
      <c r="E181" s="5">
        <v>57.564</v>
      </c>
      <c r="F181" s="5">
        <v>58.802999999999997</v>
      </c>
      <c r="G181" s="28">
        <f>F181-E181</f>
        <v>1.2389999999999972</v>
      </c>
      <c r="H181" s="16">
        <f t="shared" si="19"/>
        <v>1.0652921999999976</v>
      </c>
      <c r="I181" s="19"/>
      <c r="J181" s="16">
        <f t="shared" ref="J181:J183" si="22">D181/($E$25-$E$26)*$J$24</f>
        <v>0.46659920315215969</v>
      </c>
      <c r="K181" s="19">
        <f t="shared" si="20"/>
        <v>1.5318914031521573</v>
      </c>
      <c r="M181" s="13" t="s">
        <v>69</v>
      </c>
      <c r="N181" s="12"/>
    </row>
    <row r="182" spans="1:15" x14ac:dyDescent="0.25">
      <c r="A182" s="1">
        <v>139</v>
      </c>
      <c r="B182" s="47">
        <v>45725</v>
      </c>
      <c r="C182" s="66">
        <v>34242385</v>
      </c>
      <c r="D182" s="125">
        <v>84</v>
      </c>
      <c r="E182" s="5">
        <v>10.609</v>
      </c>
      <c r="F182" s="5">
        <v>10.609</v>
      </c>
      <c r="G182" s="28">
        <f>F182-E182</f>
        <v>0</v>
      </c>
      <c r="H182" s="16">
        <f t="shared" si="19"/>
        <v>0</v>
      </c>
      <c r="I182" s="16"/>
      <c r="J182" s="16">
        <f t="shared" si="22"/>
        <v>0.46493870776727658</v>
      </c>
      <c r="K182" s="19">
        <f>H182+I182+J182</f>
        <v>0.46493870776727658</v>
      </c>
      <c r="M182" s="13" t="s">
        <v>69</v>
      </c>
      <c r="N182" s="12"/>
    </row>
    <row r="183" spans="1:15" x14ac:dyDescent="0.25">
      <c r="A183" s="1">
        <v>140</v>
      </c>
      <c r="B183" s="47">
        <v>45928</v>
      </c>
      <c r="C183" s="10" t="s">
        <v>103</v>
      </c>
      <c r="D183" s="125">
        <v>55.6</v>
      </c>
      <c r="E183" s="5">
        <v>3.3109999999999999</v>
      </c>
      <c r="F183" s="5">
        <v>4.2460000000000004</v>
      </c>
      <c r="G183" s="28"/>
      <c r="H183" s="16">
        <f>F183-E183</f>
        <v>0.9350000000000005</v>
      </c>
      <c r="I183" s="19"/>
      <c r="J183" s="16">
        <f t="shared" si="22"/>
        <v>0.30774514466500691</v>
      </c>
      <c r="K183" s="19">
        <f t="shared" si="20"/>
        <v>1.2427451446650073</v>
      </c>
      <c r="M183" s="13" t="s">
        <v>69</v>
      </c>
      <c r="N183" s="12"/>
    </row>
    <row r="184" spans="1:15" x14ac:dyDescent="0.25">
      <c r="A184" s="1">
        <v>141</v>
      </c>
      <c r="B184" s="33"/>
      <c r="C184" s="66">
        <v>34242390</v>
      </c>
      <c r="D184" s="125">
        <v>56.4</v>
      </c>
      <c r="E184" s="5">
        <v>18.561</v>
      </c>
      <c r="F184" s="5">
        <v>19.161000000000001</v>
      </c>
      <c r="G184" s="28"/>
      <c r="H184" s="16">
        <f>G184*0.8598</f>
        <v>0</v>
      </c>
      <c r="I184" s="16">
        <f>((D184*0.015)*12)/7</f>
        <v>1.4502857142857142</v>
      </c>
      <c r="J184" s="16"/>
      <c r="K184" s="19">
        <f t="shared" si="20"/>
        <v>1.4502857142857142</v>
      </c>
      <c r="M184" s="13" t="s">
        <v>71</v>
      </c>
      <c r="N184" s="12"/>
      <c r="O184" s="12"/>
    </row>
    <row r="185" spans="1:15" x14ac:dyDescent="0.25">
      <c r="A185" s="1">
        <v>142</v>
      </c>
      <c r="B185" s="33" t="s">
        <v>59</v>
      </c>
      <c r="C185" s="10" t="s">
        <v>77</v>
      </c>
      <c r="D185" s="125">
        <v>84.1</v>
      </c>
      <c r="E185" s="39">
        <v>3.6150000000000002</v>
      </c>
      <c r="F185" s="39">
        <v>4.2567000000000004</v>
      </c>
      <c r="G185" s="28"/>
      <c r="H185" s="16">
        <f>F185-E185</f>
        <v>0.64170000000000016</v>
      </c>
      <c r="I185" s="19"/>
      <c r="J185" s="16">
        <f>D185/($E$25-$E$26)*$J$24</f>
        <v>0.46549220622890425</v>
      </c>
      <c r="K185" s="19">
        <f t="shared" si="20"/>
        <v>1.1071922062289044</v>
      </c>
      <c r="M185" s="13" t="s">
        <v>69</v>
      </c>
      <c r="N185" s="12"/>
    </row>
    <row r="186" spans="1:15" x14ac:dyDescent="0.25">
      <c r="A186" s="1">
        <v>143</v>
      </c>
      <c r="B186" s="47">
        <v>45915</v>
      </c>
      <c r="C186" s="66">
        <v>34242383</v>
      </c>
      <c r="D186" s="125">
        <v>83.5</v>
      </c>
      <c r="E186" s="5">
        <v>35.930999999999997</v>
      </c>
      <c r="F186" s="5">
        <v>36.92</v>
      </c>
      <c r="G186" s="28">
        <f>F186-E186</f>
        <v>0.98900000000000432</v>
      </c>
      <c r="H186" s="16">
        <f t="shared" ref="H186:H214" si="23">G186*0.8598</f>
        <v>0.85034220000000371</v>
      </c>
      <c r="I186" s="19"/>
      <c r="J186" s="16">
        <f>D186/($E$25-$E$26)*$J$24</f>
        <v>0.46217121545913803</v>
      </c>
      <c r="K186" s="19">
        <f t="shared" si="20"/>
        <v>1.3125134154591418</v>
      </c>
      <c r="M186" s="13" t="s">
        <v>69</v>
      </c>
      <c r="N186" s="12"/>
    </row>
    <row r="187" spans="1:15" x14ac:dyDescent="0.25">
      <c r="A187" s="1">
        <v>144</v>
      </c>
      <c r="B187" s="34"/>
      <c r="C187" s="66">
        <v>34242379</v>
      </c>
      <c r="D187" s="125">
        <v>56.3</v>
      </c>
      <c r="E187" s="5">
        <v>23.600999999999999</v>
      </c>
      <c r="F187" s="5">
        <v>24.282</v>
      </c>
      <c r="G187" s="28"/>
      <c r="H187" s="16">
        <f t="shared" si="23"/>
        <v>0</v>
      </c>
      <c r="I187" s="16">
        <f>((D187*0.015)*12)/7</f>
        <v>1.4477142857142855</v>
      </c>
      <c r="J187" s="16"/>
      <c r="K187" s="19">
        <f t="shared" si="20"/>
        <v>1.4477142857142855</v>
      </c>
      <c r="M187" s="13" t="s">
        <v>71</v>
      </c>
      <c r="N187" s="12"/>
      <c r="O187" s="12"/>
    </row>
    <row r="188" spans="1:15" x14ac:dyDescent="0.25">
      <c r="A188" s="1">
        <v>145</v>
      </c>
      <c r="B188" s="47">
        <v>45829</v>
      </c>
      <c r="C188" s="66">
        <v>34242386</v>
      </c>
      <c r="D188" s="125">
        <v>56.6</v>
      </c>
      <c r="E188" s="5">
        <v>19.545999999999999</v>
      </c>
      <c r="F188" s="5">
        <v>20.504000000000001</v>
      </c>
      <c r="G188" s="28">
        <f>F188-E188</f>
        <v>0.95800000000000196</v>
      </c>
      <c r="H188" s="16">
        <f t="shared" si="23"/>
        <v>0.82368840000000165</v>
      </c>
      <c r="I188" s="19"/>
      <c r="J188" s="16">
        <f>D188/($E$25-$E$26)*$J$24</f>
        <v>0.31328012928128396</v>
      </c>
      <c r="K188" s="19">
        <f t="shared" si="20"/>
        <v>1.1369685292812857</v>
      </c>
      <c r="M188" s="13" t="s">
        <v>69</v>
      </c>
      <c r="N188" s="12"/>
    </row>
    <row r="189" spans="1:15" x14ac:dyDescent="0.25">
      <c r="A189" s="1">
        <v>146</v>
      </c>
      <c r="B189" s="47">
        <v>45829</v>
      </c>
      <c r="C189" s="66">
        <v>34242384</v>
      </c>
      <c r="D189" s="125">
        <v>84.3</v>
      </c>
      <c r="E189" s="5">
        <v>21.542000000000002</v>
      </c>
      <c r="F189" s="5">
        <v>22.850999999999999</v>
      </c>
      <c r="G189" s="28">
        <f>F189-E189</f>
        <v>1.3089999999999975</v>
      </c>
      <c r="H189" s="16">
        <f t="shared" si="23"/>
        <v>1.1254781999999979</v>
      </c>
      <c r="I189" s="16"/>
      <c r="J189" s="16">
        <f t="shared" ref="J189:J191" si="24">D189/($E$25-$E$26)*$J$24</f>
        <v>0.46659920315215969</v>
      </c>
      <c r="K189" s="19">
        <f t="shared" si="20"/>
        <v>1.5920774031521576</v>
      </c>
      <c r="M189" s="13" t="s">
        <v>69</v>
      </c>
      <c r="N189" s="12"/>
    </row>
    <row r="190" spans="1:15" x14ac:dyDescent="0.25">
      <c r="A190" s="1">
        <v>147</v>
      </c>
      <c r="B190" s="47">
        <v>45753</v>
      </c>
      <c r="C190" s="66">
        <v>34242301</v>
      </c>
      <c r="D190" s="125">
        <v>84.7</v>
      </c>
      <c r="E190" s="5">
        <v>34.225000000000001</v>
      </c>
      <c r="F190" s="5">
        <v>35.618000000000002</v>
      </c>
      <c r="G190" s="28">
        <f>F190-E190</f>
        <v>1.3930000000000007</v>
      </c>
      <c r="H190" s="16">
        <f t="shared" si="23"/>
        <v>1.1977014000000006</v>
      </c>
      <c r="I190" s="19"/>
      <c r="J190" s="16">
        <f t="shared" si="24"/>
        <v>0.46881319699867052</v>
      </c>
      <c r="K190" s="19">
        <f t="shared" si="20"/>
        <v>1.6665145969986712</v>
      </c>
      <c r="M190" s="13" t="s">
        <v>69</v>
      </c>
      <c r="N190" s="12"/>
    </row>
    <row r="191" spans="1:15" x14ac:dyDescent="0.25">
      <c r="A191" s="1">
        <v>148</v>
      </c>
      <c r="B191" s="47">
        <v>45899</v>
      </c>
      <c r="C191" s="66">
        <v>34242298</v>
      </c>
      <c r="D191" s="125">
        <v>56.4</v>
      </c>
      <c r="E191" s="5">
        <v>24.651</v>
      </c>
      <c r="F191" s="5">
        <v>25.382000000000001</v>
      </c>
      <c r="G191" s="28">
        <f>F191-E191</f>
        <v>0.73100000000000165</v>
      </c>
      <c r="H191" s="16">
        <f t="shared" si="23"/>
        <v>0.62851380000000145</v>
      </c>
      <c r="I191" s="19"/>
      <c r="J191" s="16">
        <f t="shared" si="24"/>
        <v>0.31217313235802857</v>
      </c>
      <c r="K191" s="19">
        <f t="shared" si="20"/>
        <v>0.94068693235803003</v>
      </c>
      <c r="M191" s="13" t="s">
        <v>69</v>
      </c>
      <c r="N191" s="12"/>
    </row>
    <row r="192" spans="1:15" x14ac:dyDescent="0.25">
      <c r="A192" s="1">
        <v>149</v>
      </c>
      <c r="B192" s="33"/>
      <c r="C192" s="66">
        <v>34242302</v>
      </c>
      <c r="D192" s="125">
        <v>56.7</v>
      </c>
      <c r="E192" s="5">
        <v>26.308</v>
      </c>
      <c r="F192" s="5">
        <v>27.222000000000001</v>
      </c>
      <c r="G192" s="28"/>
      <c r="H192" s="16">
        <f t="shared" si="23"/>
        <v>0</v>
      </c>
      <c r="I192" s="16">
        <f>((D192*0.015)*12)/7</f>
        <v>1.458</v>
      </c>
      <c r="J192" s="16"/>
      <c r="K192" s="19">
        <f t="shared" si="20"/>
        <v>1.458</v>
      </c>
      <c r="M192" s="13" t="s">
        <v>71</v>
      </c>
      <c r="N192" s="12"/>
      <c r="O192" s="12"/>
    </row>
    <row r="193" spans="1:16" x14ac:dyDescent="0.25">
      <c r="A193" s="1">
        <v>150</v>
      </c>
      <c r="B193" s="47">
        <v>45873</v>
      </c>
      <c r="C193" s="66">
        <v>34242299</v>
      </c>
      <c r="D193" s="125">
        <v>84.6</v>
      </c>
      <c r="E193" s="5">
        <v>20.742999999999999</v>
      </c>
      <c r="F193" s="5">
        <v>20.742999999999999</v>
      </c>
      <c r="G193" s="28">
        <f>F193-E193</f>
        <v>0</v>
      </c>
      <c r="H193" s="16">
        <f t="shared" si="23"/>
        <v>0</v>
      </c>
      <c r="I193" s="16"/>
      <c r="J193" s="16">
        <f>D193/($E$25-$E$26)*$J$24</f>
        <v>0.46825969853704286</v>
      </c>
      <c r="K193" s="19">
        <f t="shared" si="20"/>
        <v>0.46825969853704286</v>
      </c>
      <c r="M193" s="13" t="s">
        <v>69</v>
      </c>
      <c r="N193" s="12"/>
    </row>
    <row r="194" spans="1:16" x14ac:dyDescent="0.25">
      <c r="A194" s="1">
        <v>151</v>
      </c>
      <c r="B194" s="47">
        <v>45937</v>
      </c>
      <c r="C194" s="66">
        <v>34242300</v>
      </c>
      <c r="D194" s="125">
        <v>84.6</v>
      </c>
      <c r="E194" s="5">
        <v>34.743000000000002</v>
      </c>
      <c r="F194" s="5">
        <v>34.979999999999997</v>
      </c>
      <c r="G194" s="28">
        <f>F194-E194</f>
        <v>0.23699999999999477</v>
      </c>
      <c r="H194" s="16">
        <f t="shared" si="23"/>
        <v>0.2037725999999955</v>
      </c>
      <c r="I194" s="19"/>
      <c r="J194" s="16">
        <f t="shared" ref="J194:J197" si="25">D194/($E$25-$E$26)*$J$24</f>
        <v>0.46825969853704286</v>
      </c>
      <c r="K194" s="19">
        <f t="shared" si="20"/>
        <v>0.67203229853703839</v>
      </c>
      <c r="M194" s="13" t="s">
        <v>69</v>
      </c>
      <c r="N194" s="12"/>
    </row>
    <row r="195" spans="1:16" x14ac:dyDescent="0.25">
      <c r="A195" s="1">
        <v>152</v>
      </c>
      <c r="B195" s="47">
        <v>45593</v>
      </c>
      <c r="C195" s="10" t="s">
        <v>94</v>
      </c>
      <c r="D195" s="125">
        <v>56.3</v>
      </c>
      <c r="E195" s="39">
        <v>0.441</v>
      </c>
      <c r="F195" s="39">
        <v>0.441</v>
      </c>
      <c r="G195" s="28"/>
      <c r="H195" s="16">
        <f>F195-E195</f>
        <v>0</v>
      </c>
      <c r="I195" s="19"/>
      <c r="J195" s="16">
        <f t="shared" si="25"/>
        <v>0.31161963389640079</v>
      </c>
      <c r="K195" s="19">
        <f>H195+I195+J195</f>
        <v>0.31161963389640079</v>
      </c>
      <c r="M195" s="13" t="s">
        <v>69</v>
      </c>
      <c r="N195" s="12"/>
    </row>
    <row r="196" spans="1:16" x14ac:dyDescent="0.25">
      <c r="A196" s="1">
        <v>153</v>
      </c>
      <c r="B196" s="47">
        <v>45594</v>
      </c>
      <c r="C196" s="10" t="s">
        <v>92</v>
      </c>
      <c r="D196" s="125">
        <v>56.9</v>
      </c>
      <c r="E196" s="39">
        <v>0.64</v>
      </c>
      <c r="F196" s="39">
        <v>0.64670000000000005</v>
      </c>
      <c r="G196" s="28"/>
      <c r="H196" s="16">
        <f>F196-E196</f>
        <v>6.7000000000000393E-3</v>
      </c>
      <c r="I196" s="19"/>
      <c r="J196" s="16">
        <f t="shared" si="25"/>
        <v>0.31494062466616712</v>
      </c>
      <c r="K196" s="19">
        <f t="shared" si="20"/>
        <v>0.32164062466616716</v>
      </c>
      <c r="M196" s="13" t="s">
        <v>69</v>
      </c>
      <c r="N196" s="12"/>
    </row>
    <row r="197" spans="1:16" x14ac:dyDescent="0.25">
      <c r="A197" s="1">
        <v>154</v>
      </c>
      <c r="B197" s="47">
        <v>46000</v>
      </c>
      <c r="C197" s="66">
        <v>34242305</v>
      </c>
      <c r="D197" s="125">
        <v>85.7</v>
      </c>
      <c r="E197" s="5">
        <v>30.297999999999998</v>
      </c>
      <c r="F197" s="5">
        <v>30.396000000000001</v>
      </c>
      <c r="G197" s="28">
        <f>F197-E197</f>
        <v>9.800000000000253E-2</v>
      </c>
      <c r="H197" s="16">
        <f t="shared" si="23"/>
        <v>8.4260400000002178E-2</v>
      </c>
      <c r="I197" s="16"/>
      <c r="J197" s="16">
        <f t="shared" si="25"/>
        <v>0.47434818161494774</v>
      </c>
      <c r="K197" s="19">
        <f t="shared" si="20"/>
        <v>0.55860858161494997</v>
      </c>
      <c r="M197" s="13" t="s">
        <v>69</v>
      </c>
      <c r="N197" s="12"/>
      <c r="O197" s="12"/>
      <c r="P197" s="12"/>
    </row>
    <row r="198" spans="1:16" x14ac:dyDescent="0.25">
      <c r="A198" s="1">
        <v>155</v>
      </c>
      <c r="B198" s="33"/>
      <c r="C198" s="66">
        <v>34242323</v>
      </c>
      <c r="D198" s="125">
        <v>84.9</v>
      </c>
      <c r="E198" s="5">
        <v>53.835000000000001</v>
      </c>
      <c r="F198" s="5">
        <v>54.76</v>
      </c>
      <c r="G198" s="28"/>
      <c r="H198" s="16">
        <f t="shared" si="23"/>
        <v>0</v>
      </c>
      <c r="I198" s="16">
        <f>((D198*0.015)*12)/7</f>
        <v>2.1831428571428573</v>
      </c>
      <c r="J198" s="16"/>
      <c r="K198" s="19">
        <f t="shared" si="20"/>
        <v>2.1831428571428573</v>
      </c>
      <c r="M198" s="13" t="s">
        <v>71</v>
      </c>
      <c r="N198" s="12"/>
    </row>
    <row r="199" spans="1:16" x14ac:dyDescent="0.25">
      <c r="A199" s="1">
        <v>156</v>
      </c>
      <c r="B199" s="47">
        <v>46045</v>
      </c>
      <c r="C199" s="66">
        <v>34242320</v>
      </c>
      <c r="D199" s="125">
        <v>56.8</v>
      </c>
      <c r="E199" s="5">
        <v>40.817</v>
      </c>
      <c r="F199" s="5">
        <v>41.701000000000001</v>
      </c>
      <c r="G199" s="28">
        <f>F199-E199</f>
        <v>0.88400000000000034</v>
      </c>
      <c r="H199" s="16">
        <f t="shared" si="23"/>
        <v>0.76006320000000027</v>
      </c>
      <c r="I199" s="16"/>
      <c r="J199" s="16">
        <f>D199/($E$25-$E$26)*$J$24</f>
        <v>0.31438712620453935</v>
      </c>
      <c r="K199" s="19">
        <f t="shared" si="20"/>
        <v>1.0744503262045395</v>
      </c>
      <c r="M199" s="13" t="s">
        <v>69</v>
      </c>
      <c r="N199" s="12"/>
    </row>
    <row r="200" spans="1:16" x14ac:dyDescent="0.25">
      <c r="A200" s="1">
        <v>157</v>
      </c>
      <c r="B200" s="47">
        <v>45934</v>
      </c>
      <c r="C200" s="66">
        <v>34242321</v>
      </c>
      <c r="D200" s="125">
        <v>57.1</v>
      </c>
      <c r="E200" s="5">
        <v>38.79</v>
      </c>
      <c r="F200" s="5">
        <v>39.844999999999999</v>
      </c>
      <c r="G200" s="28">
        <f>F200-E200</f>
        <v>1.0549999999999997</v>
      </c>
      <c r="H200" s="16">
        <f t="shared" si="23"/>
        <v>0.90708899999999981</v>
      </c>
      <c r="I200" s="19"/>
      <c r="J200" s="16">
        <f>D200/($E$25-$E$26)*$J$24</f>
        <v>0.31604762158942257</v>
      </c>
      <c r="K200" s="19">
        <f t="shared" si="20"/>
        <v>1.2231366215894224</v>
      </c>
      <c r="M200" s="13" t="s">
        <v>69</v>
      </c>
      <c r="N200" s="12"/>
    </row>
    <row r="201" spans="1:16" x14ac:dyDescent="0.25">
      <c r="A201" s="1">
        <v>158</v>
      </c>
      <c r="B201" s="33"/>
      <c r="C201" s="66">
        <v>34242304</v>
      </c>
      <c r="D201" s="125">
        <v>85.5</v>
      </c>
      <c r="E201" s="5">
        <v>46.566000000000003</v>
      </c>
      <c r="F201" s="5">
        <v>48.026000000000003</v>
      </c>
      <c r="G201" s="28"/>
      <c r="H201" s="16">
        <f t="shared" si="23"/>
        <v>0</v>
      </c>
      <c r="I201" s="16">
        <f>((D201*0.015)*12)/7</f>
        <v>2.1985714285714288</v>
      </c>
      <c r="J201" s="16"/>
      <c r="K201" s="19">
        <f t="shared" si="20"/>
        <v>2.1985714285714288</v>
      </c>
      <c r="M201" s="13" t="s">
        <v>71</v>
      </c>
      <c r="N201" s="12"/>
      <c r="O201" s="12"/>
    </row>
    <row r="202" spans="1:16" x14ac:dyDescent="0.25">
      <c r="A202" s="1">
        <v>159</v>
      </c>
      <c r="B202" s="47">
        <v>45907</v>
      </c>
      <c r="C202" s="66">
        <v>34242308</v>
      </c>
      <c r="D202" s="125">
        <v>84.6</v>
      </c>
      <c r="E202" s="74">
        <v>44.381</v>
      </c>
      <c r="F202" s="74">
        <v>45.304000000000002</v>
      </c>
      <c r="G202" s="28">
        <f>F202-E202</f>
        <v>0.92300000000000182</v>
      </c>
      <c r="H202" s="16">
        <f t="shared" si="23"/>
        <v>0.79359540000000162</v>
      </c>
      <c r="I202" s="16"/>
      <c r="J202" s="16">
        <f>D202/($E$25-$E$26)*$J$24</f>
        <v>0.46825969853704286</v>
      </c>
      <c r="K202" s="19">
        <f t="shared" si="20"/>
        <v>1.2618550985370445</v>
      </c>
      <c r="M202" s="13" t="s">
        <v>69</v>
      </c>
      <c r="N202" s="12"/>
    </row>
    <row r="203" spans="1:16" x14ac:dyDescent="0.25">
      <c r="A203" s="1">
        <v>160</v>
      </c>
      <c r="B203" s="47">
        <v>45753</v>
      </c>
      <c r="C203" s="66">
        <v>34242307</v>
      </c>
      <c r="D203" s="125">
        <v>56.3</v>
      </c>
      <c r="E203" s="5">
        <v>5.8330000000000002</v>
      </c>
      <c r="F203" s="5">
        <v>6.5</v>
      </c>
      <c r="G203" s="28">
        <f>F203-E203</f>
        <v>0.66699999999999982</v>
      </c>
      <c r="H203" s="16">
        <f t="shared" si="23"/>
        <v>0.57348659999999985</v>
      </c>
      <c r="I203" s="16"/>
      <c r="J203" s="16">
        <f>D203/($E$25-$E$26)*$J$24</f>
        <v>0.31161963389640079</v>
      </c>
      <c r="K203" s="19">
        <f t="shared" si="20"/>
        <v>0.88510623389640064</v>
      </c>
      <c r="M203" s="13" t="s">
        <v>69</v>
      </c>
      <c r="N203" s="12"/>
    </row>
    <row r="204" spans="1:16" x14ac:dyDescent="0.25">
      <c r="A204" s="1">
        <v>161</v>
      </c>
      <c r="B204" s="47">
        <v>45934</v>
      </c>
      <c r="C204" s="66">
        <v>34242312</v>
      </c>
      <c r="D204" s="125">
        <v>56.8</v>
      </c>
      <c r="E204" s="5">
        <v>10.661</v>
      </c>
      <c r="F204" s="5">
        <v>10.661</v>
      </c>
      <c r="G204" s="28">
        <f>F204-E204</f>
        <v>0</v>
      </c>
      <c r="H204" s="16">
        <f t="shared" si="23"/>
        <v>0</v>
      </c>
      <c r="I204" s="16"/>
      <c r="J204" s="16">
        <f>D204/($E$25-$E$26)*$J$24</f>
        <v>0.31438712620453935</v>
      </c>
      <c r="K204" s="19">
        <f t="shared" si="20"/>
        <v>0.31438712620453935</v>
      </c>
      <c r="M204" s="13" t="s">
        <v>69</v>
      </c>
      <c r="N204" s="12"/>
    </row>
    <row r="205" spans="1:16" x14ac:dyDescent="0.25">
      <c r="A205" s="1">
        <v>162</v>
      </c>
      <c r="B205" s="33"/>
      <c r="C205" s="66">
        <v>34242309</v>
      </c>
      <c r="D205" s="125">
        <v>85.2</v>
      </c>
      <c r="E205" s="5">
        <v>30.791</v>
      </c>
      <c r="F205" s="5">
        <v>30.791</v>
      </c>
      <c r="G205" s="28"/>
      <c r="H205" s="16">
        <f t="shared" si="23"/>
        <v>0</v>
      </c>
      <c r="I205" s="16">
        <f>((D205*0.015)*12)/7</f>
        <v>2.1908571428571428</v>
      </c>
      <c r="J205" s="16"/>
      <c r="K205" s="19">
        <f t="shared" si="20"/>
        <v>2.1908571428571428</v>
      </c>
      <c r="M205" s="13" t="s">
        <v>71</v>
      </c>
      <c r="N205" s="12"/>
      <c r="O205" s="12"/>
    </row>
    <row r="206" spans="1:16" x14ac:dyDescent="0.25">
      <c r="A206" s="1">
        <v>163</v>
      </c>
      <c r="B206" s="47">
        <v>45704</v>
      </c>
      <c r="C206" s="66">
        <v>34242188</v>
      </c>
      <c r="D206" s="125">
        <v>84.4</v>
      </c>
      <c r="E206" s="5">
        <v>5.327</v>
      </c>
      <c r="F206" s="5">
        <v>5.327</v>
      </c>
      <c r="G206" s="28">
        <f>F206-E206</f>
        <v>0</v>
      </c>
      <c r="H206" s="16">
        <f>G206*0.8598</f>
        <v>0</v>
      </c>
      <c r="I206" s="16"/>
      <c r="J206" s="16">
        <f>D206/($E$25-$E$26)*$J$24</f>
        <v>0.46715270161378741</v>
      </c>
      <c r="K206" s="19">
        <f t="shared" si="20"/>
        <v>0.46715270161378741</v>
      </c>
      <c r="M206" s="13" t="s">
        <v>69</v>
      </c>
      <c r="N206" s="12"/>
    </row>
    <row r="207" spans="1:16" x14ac:dyDescent="0.25">
      <c r="A207" s="1">
        <v>164</v>
      </c>
      <c r="B207" s="47">
        <v>45748</v>
      </c>
      <c r="C207" s="66">
        <v>34242185</v>
      </c>
      <c r="D207" s="125">
        <v>55.9</v>
      </c>
      <c r="E207" s="5">
        <v>21.352</v>
      </c>
      <c r="F207" s="5">
        <v>22.14</v>
      </c>
      <c r="G207" s="28">
        <f>F207-E207</f>
        <v>0.78800000000000026</v>
      </c>
      <c r="H207" s="16">
        <f>G207*0.8598</f>
        <v>0.67752240000000019</v>
      </c>
      <c r="I207" s="19"/>
      <c r="J207" s="16">
        <f>D207/($E$25-$E$26)*$J$24</f>
        <v>0.30940564004989002</v>
      </c>
      <c r="K207" s="19">
        <f>H207+I207+J207</f>
        <v>0.98692804004989021</v>
      </c>
      <c r="M207" s="13" t="s">
        <v>69</v>
      </c>
      <c r="N207" s="12"/>
    </row>
    <row r="208" spans="1:16" x14ac:dyDescent="0.25">
      <c r="A208" s="1">
        <v>165</v>
      </c>
      <c r="B208" s="47">
        <v>45748</v>
      </c>
      <c r="C208" s="66">
        <v>43441088</v>
      </c>
      <c r="D208" s="125">
        <v>56.7</v>
      </c>
      <c r="E208" s="5">
        <v>19.928999999999998</v>
      </c>
      <c r="F208" s="5">
        <v>21.029</v>
      </c>
      <c r="G208" s="28">
        <f>F208-E208</f>
        <v>1.1000000000000014</v>
      </c>
      <c r="H208" s="16">
        <f t="shared" si="23"/>
        <v>0.94578000000000129</v>
      </c>
      <c r="I208" s="19"/>
      <c r="J208" s="16">
        <f>D208/($E$25-$E$26)*$J$24</f>
        <v>0.31383362774291174</v>
      </c>
      <c r="K208" s="19">
        <f t="shared" si="20"/>
        <v>1.2596136277429131</v>
      </c>
      <c r="M208" s="13" t="s">
        <v>69</v>
      </c>
      <c r="N208" s="12"/>
    </row>
    <row r="209" spans="1:15" x14ac:dyDescent="0.25">
      <c r="A209" s="1">
        <v>166</v>
      </c>
      <c r="B209" s="47">
        <v>45795</v>
      </c>
      <c r="C209" s="66">
        <v>34242310</v>
      </c>
      <c r="D209" s="125">
        <v>85.2</v>
      </c>
      <c r="E209" s="5">
        <v>35.46</v>
      </c>
      <c r="F209" s="5">
        <v>36.200000000000003</v>
      </c>
      <c r="G209" s="28">
        <f>F209-E209</f>
        <v>0.74000000000000199</v>
      </c>
      <c r="H209" s="16">
        <f>G209*0.8598</f>
        <v>0.63625200000000171</v>
      </c>
      <c r="I209" s="19"/>
      <c r="J209" s="16">
        <f>D209/($E$25-$E$26)*$J$24</f>
        <v>0.47158068930680908</v>
      </c>
      <c r="K209" s="19">
        <f t="shared" si="20"/>
        <v>1.1078326893068109</v>
      </c>
      <c r="M209" s="13" t="s">
        <v>69</v>
      </c>
      <c r="N209" s="12"/>
    </row>
    <row r="210" spans="1:15" x14ac:dyDescent="0.25">
      <c r="A210" s="1">
        <v>167</v>
      </c>
      <c r="B210" s="33"/>
      <c r="C210" s="66">
        <v>34242187</v>
      </c>
      <c r="D210" s="125">
        <v>84.9</v>
      </c>
      <c r="E210" s="5">
        <v>54.326000000000001</v>
      </c>
      <c r="F210" s="5">
        <v>57.55</v>
      </c>
      <c r="G210" s="28"/>
      <c r="H210" s="16">
        <f t="shared" si="23"/>
        <v>0</v>
      </c>
      <c r="I210" s="16">
        <f>((D210*0.015)*12)/7</f>
        <v>2.1831428571428573</v>
      </c>
      <c r="J210" s="16"/>
      <c r="K210" s="19">
        <f t="shared" si="20"/>
        <v>2.1831428571428573</v>
      </c>
      <c r="M210" s="13" t="s">
        <v>71</v>
      </c>
      <c r="N210" s="12"/>
      <c r="O210" s="12"/>
    </row>
    <row r="211" spans="1:15" x14ac:dyDescent="0.25">
      <c r="A211" s="1">
        <v>168</v>
      </c>
      <c r="B211" s="33"/>
      <c r="C211" s="66">
        <v>34242189</v>
      </c>
      <c r="D211" s="125">
        <v>56.4</v>
      </c>
      <c r="E211" s="5">
        <v>5.01</v>
      </c>
      <c r="F211" s="5">
        <v>5.01</v>
      </c>
      <c r="G211" s="28"/>
      <c r="H211" s="16">
        <f t="shared" si="23"/>
        <v>0</v>
      </c>
      <c r="I211" s="16">
        <f>((D211*0.015)*12)/7</f>
        <v>1.4502857142857142</v>
      </c>
      <c r="J211" s="16"/>
      <c r="K211" s="19">
        <f t="shared" si="20"/>
        <v>1.4502857142857142</v>
      </c>
      <c r="M211" s="13" t="s">
        <v>71</v>
      </c>
      <c r="N211" s="12"/>
      <c r="O211" s="12"/>
    </row>
    <row r="212" spans="1:15" x14ac:dyDescent="0.25">
      <c r="A212" s="1">
        <v>169</v>
      </c>
      <c r="B212" s="47">
        <v>46000</v>
      </c>
      <c r="C212" s="66">
        <v>34242191</v>
      </c>
      <c r="D212" s="125">
        <v>57</v>
      </c>
      <c r="E212" s="5">
        <v>27.477</v>
      </c>
      <c r="F212" s="5">
        <v>27.484999999999999</v>
      </c>
      <c r="G212" s="28"/>
      <c r="H212" s="16">
        <f t="shared" si="23"/>
        <v>0</v>
      </c>
      <c r="I212" s="16"/>
      <c r="J212" s="16">
        <f>D212/($E$25-$E$26)*$J$24</f>
        <v>0.31549412312779479</v>
      </c>
      <c r="K212" s="19">
        <f t="shared" si="20"/>
        <v>0.31549412312779479</v>
      </c>
      <c r="M212" s="13" t="s">
        <v>69</v>
      </c>
      <c r="N212" s="12"/>
      <c r="O212" s="12"/>
    </row>
    <row r="213" spans="1:15" x14ac:dyDescent="0.25">
      <c r="A213" s="1">
        <v>170</v>
      </c>
      <c r="B213" s="47">
        <v>45608</v>
      </c>
      <c r="C213" s="66">
        <v>34242190</v>
      </c>
      <c r="D213" s="125">
        <v>85.3</v>
      </c>
      <c r="E213" s="5">
        <v>41.625999999999998</v>
      </c>
      <c r="F213" s="5">
        <v>42.883000000000003</v>
      </c>
      <c r="G213" s="28">
        <f>F213-E213</f>
        <v>1.257000000000005</v>
      </c>
      <c r="H213" s="16">
        <f t="shared" si="23"/>
        <v>1.0807686000000043</v>
      </c>
      <c r="I213" s="19"/>
      <c r="J213" s="16">
        <f>D213/($E$25-$E$26)*$J$24</f>
        <v>0.4721341877684368</v>
      </c>
      <c r="K213" s="19">
        <f t="shared" si="20"/>
        <v>1.5529027877684412</v>
      </c>
      <c r="M213" s="13" t="s">
        <v>69</v>
      </c>
      <c r="N213" s="12"/>
    </row>
    <row r="214" spans="1:15" x14ac:dyDescent="0.25">
      <c r="A214" s="1">
        <v>171</v>
      </c>
      <c r="B214" s="47">
        <v>45866</v>
      </c>
      <c r="C214" s="66">
        <v>34242184</v>
      </c>
      <c r="D214" s="125">
        <v>84.3</v>
      </c>
      <c r="E214" s="5">
        <v>7.931</v>
      </c>
      <c r="F214" s="5">
        <v>7.931</v>
      </c>
      <c r="G214" s="28">
        <f>F214-E214</f>
        <v>0</v>
      </c>
      <c r="H214" s="16">
        <f t="shared" si="23"/>
        <v>0</v>
      </c>
      <c r="I214" s="16"/>
      <c r="J214" s="16">
        <f>D214/($E$25-$E$26)*$J$24</f>
        <v>0.46659920315215969</v>
      </c>
      <c r="K214" s="19">
        <f t="shared" si="20"/>
        <v>0.46659920315215969</v>
      </c>
      <c r="M214" s="13" t="s">
        <v>69</v>
      </c>
      <c r="N214" s="12"/>
    </row>
    <row r="215" spans="1:15" x14ac:dyDescent="0.25">
      <c r="A215" s="1">
        <v>172</v>
      </c>
      <c r="B215" s="47">
        <v>45553</v>
      </c>
      <c r="C215" s="10" t="s">
        <v>88</v>
      </c>
      <c r="D215" s="125">
        <v>56.4</v>
      </c>
      <c r="E215" s="39">
        <v>1.202</v>
      </c>
      <c r="F215" s="39">
        <v>1.369</v>
      </c>
      <c r="G215" s="28"/>
      <c r="H215" s="16">
        <f>F215-E215</f>
        <v>0.16700000000000004</v>
      </c>
      <c r="I215" s="19"/>
      <c r="J215" s="16">
        <f>D215/($E$25-$E$26)*$J$24</f>
        <v>0.31217313235802857</v>
      </c>
      <c r="K215" s="19">
        <f t="shared" si="20"/>
        <v>0.47917313235802861</v>
      </c>
      <c r="M215" s="13" t="s">
        <v>69</v>
      </c>
      <c r="N215" s="12"/>
    </row>
    <row r="216" spans="1:15" x14ac:dyDescent="0.25">
      <c r="A216" s="1">
        <v>173</v>
      </c>
      <c r="B216" s="33"/>
      <c r="C216" s="66">
        <v>34242186</v>
      </c>
      <c r="D216" s="125">
        <v>56.9</v>
      </c>
      <c r="E216" s="5">
        <v>28.841000000000001</v>
      </c>
      <c r="F216" s="5">
        <v>29.992999999999999</v>
      </c>
      <c r="G216" s="28"/>
      <c r="H216" s="16">
        <f t="shared" ref="H216:H238" si="26">G216*0.8598</f>
        <v>0</v>
      </c>
      <c r="I216" s="16">
        <f>((D216*0.015)*12)/7</f>
        <v>1.4631428571428571</v>
      </c>
      <c r="J216" s="16"/>
      <c r="K216" s="19">
        <f t="shared" si="20"/>
        <v>1.4631428571428571</v>
      </c>
      <c r="M216" s="13" t="s">
        <v>71</v>
      </c>
      <c r="N216" s="12"/>
    </row>
    <row r="217" spans="1:15" x14ac:dyDescent="0.25">
      <c r="A217" s="1">
        <v>174</v>
      </c>
      <c r="B217" s="47">
        <v>45671</v>
      </c>
      <c r="C217" s="66">
        <v>34242183</v>
      </c>
      <c r="D217" s="125">
        <v>85.9</v>
      </c>
      <c r="E217" s="5">
        <v>35.648000000000003</v>
      </c>
      <c r="F217" s="5">
        <v>36.073</v>
      </c>
      <c r="G217" s="28">
        <f>F217-E217</f>
        <v>0.42499999999999716</v>
      </c>
      <c r="H217" s="16">
        <f t="shared" si="26"/>
        <v>0.36541499999999755</v>
      </c>
      <c r="I217" s="19"/>
      <c r="J217" s="16">
        <f>D217/($E$25-$E$26)*$J$24</f>
        <v>0.47545517853820313</v>
      </c>
      <c r="K217" s="19">
        <f t="shared" si="20"/>
        <v>0.84087017853820067</v>
      </c>
      <c r="M217" s="13" t="s">
        <v>69</v>
      </c>
      <c r="N217" s="12"/>
    </row>
    <row r="218" spans="1:15" x14ac:dyDescent="0.25">
      <c r="A218" s="1">
        <v>175</v>
      </c>
      <c r="B218" s="47">
        <v>45940</v>
      </c>
      <c r="C218" s="66">
        <v>34242196</v>
      </c>
      <c r="D218" s="125">
        <v>84.5</v>
      </c>
      <c r="E218" s="5">
        <f>34.523+1.2675</f>
        <v>35.790500000000002</v>
      </c>
      <c r="F218" s="5">
        <v>36.054000000000002</v>
      </c>
      <c r="G218" s="28">
        <f>F218-E218</f>
        <v>0.26350000000000051</v>
      </c>
      <c r="H218" s="16">
        <f t="shared" si="26"/>
        <v>0.22655730000000043</v>
      </c>
      <c r="I218" s="16"/>
      <c r="J218" s="16">
        <f>D218/($E$25-$E$26)*$J$24</f>
        <v>0.46770620007541513</v>
      </c>
      <c r="K218" s="19">
        <f t="shared" si="20"/>
        <v>0.6942635000754156</v>
      </c>
      <c r="M218" s="13" t="s">
        <v>69</v>
      </c>
      <c r="N218" s="12"/>
    </row>
    <row r="219" spans="1:15" x14ac:dyDescent="0.25">
      <c r="A219" s="1">
        <v>176</v>
      </c>
      <c r="B219" s="47">
        <v>45748</v>
      </c>
      <c r="C219" s="66">
        <v>34242199</v>
      </c>
      <c r="D219" s="125">
        <v>56.5</v>
      </c>
      <c r="E219" s="5">
        <f>18.56+0.8475+0.8475</f>
        <v>20.254999999999999</v>
      </c>
      <c r="F219" s="5">
        <v>20.254999999999999</v>
      </c>
      <c r="G219" s="28">
        <f>F219-E219</f>
        <v>0</v>
      </c>
      <c r="H219" s="16">
        <f t="shared" si="26"/>
        <v>0</v>
      </c>
      <c r="I219" s="16"/>
      <c r="J219" s="16">
        <f>D219/($E$25-$E$26)*$J$24</f>
        <v>0.31272663081965629</v>
      </c>
      <c r="K219" s="19">
        <f t="shared" si="20"/>
        <v>0.31272663081965629</v>
      </c>
      <c r="M219" s="13" t="s">
        <v>69</v>
      </c>
      <c r="N219" s="12"/>
    </row>
    <row r="220" spans="1:15" x14ac:dyDescent="0.25">
      <c r="A220" s="1">
        <v>177</v>
      </c>
      <c r="B220" s="47">
        <v>45803</v>
      </c>
      <c r="C220" s="66">
        <v>34242192</v>
      </c>
      <c r="D220" s="125">
        <v>57</v>
      </c>
      <c r="E220" s="5">
        <v>17.681999999999999</v>
      </c>
      <c r="F220" s="5">
        <v>17.712</v>
      </c>
      <c r="G220" s="28">
        <f>F220-E220</f>
        <v>3.0000000000001137E-2</v>
      </c>
      <c r="H220" s="16">
        <f t="shared" si="26"/>
        <v>2.5794000000000979E-2</v>
      </c>
      <c r="I220" s="16"/>
      <c r="J220" s="16">
        <f>D220/($E$25-$E$26)*$J$24</f>
        <v>0.31549412312779479</v>
      </c>
      <c r="K220" s="19">
        <f t="shared" si="20"/>
        <v>0.34128812312779577</v>
      </c>
      <c r="M220" s="13" t="s">
        <v>69</v>
      </c>
      <c r="N220" s="12"/>
    </row>
    <row r="221" spans="1:15" x14ac:dyDescent="0.25">
      <c r="A221" s="1">
        <v>178</v>
      </c>
      <c r="B221" s="33"/>
      <c r="C221" s="66">
        <v>34242198</v>
      </c>
      <c r="D221" s="125">
        <v>85.8</v>
      </c>
      <c r="E221" s="5">
        <v>31.24</v>
      </c>
      <c r="F221" s="5">
        <v>35.417000000000002</v>
      </c>
      <c r="G221" s="28"/>
      <c r="H221" s="16">
        <f t="shared" si="26"/>
        <v>0</v>
      </c>
      <c r="I221" s="16">
        <f>((D221*0.015)*12)/7</f>
        <v>2.206285714285714</v>
      </c>
      <c r="J221" s="16"/>
      <c r="K221" s="19">
        <f t="shared" si="20"/>
        <v>2.206285714285714</v>
      </c>
      <c r="M221" s="13" t="s">
        <v>71</v>
      </c>
      <c r="N221" s="12"/>
    </row>
    <row r="222" spans="1:15" x14ac:dyDescent="0.25">
      <c r="A222" s="1">
        <v>179</v>
      </c>
      <c r="B222" s="47">
        <v>45802</v>
      </c>
      <c r="C222" s="66">
        <v>34242200</v>
      </c>
      <c r="D222" s="124">
        <v>84.7</v>
      </c>
      <c r="E222" s="6">
        <v>63.851999999999997</v>
      </c>
      <c r="F222" s="6">
        <v>65.405000000000001</v>
      </c>
      <c r="G222" s="28">
        <f>F222-E222</f>
        <v>1.5530000000000044</v>
      </c>
      <c r="H222" s="16">
        <f t="shared" si="26"/>
        <v>1.3352694000000038</v>
      </c>
      <c r="I222" s="19"/>
      <c r="J222" s="16">
        <f>D222/($E$25-$E$26)*$J$24</f>
        <v>0.46881319699867052</v>
      </c>
      <c r="K222" s="19">
        <f t="shared" si="20"/>
        <v>1.8040825969986742</v>
      </c>
      <c r="M222" s="13" t="s">
        <v>69</v>
      </c>
      <c r="N222" s="12"/>
    </row>
    <row r="223" spans="1:15" x14ac:dyDescent="0.25">
      <c r="A223" s="1">
        <v>180</v>
      </c>
      <c r="B223" s="33"/>
      <c r="C223" s="66">
        <v>34242197</v>
      </c>
      <c r="D223" s="124">
        <v>55.8</v>
      </c>
      <c r="E223" s="5">
        <v>27.155000000000001</v>
      </c>
      <c r="F223" s="5">
        <v>28.088000000000001</v>
      </c>
      <c r="G223" s="5"/>
      <c r="H223" s="16">
        <f t="shared" si="26"/>
        <v>0</v>
      </c>
      <c r="I223" s="16">
        <f t="shared" ref="I223:I232" si="27">((D223*0.015)*12)/7</f>
        <v>1.4348571428571428</v>
      </c>
      <c r="J223" s="16"/>
      <c r="K223" s="19">
        <f t="shared" si="20"/>
        <v>1.4348571428571428</v>
      </c>
      <c r="M223" s="13" t="s">
        <v>71</v>
      </c>
      <c r="N223" s="12"/>
      <c r="O223" s="12"/>
    </row>
    <row r="224" spans="1:15" x14ac:dyDescent="0.25">
      <c r="A224" s="1">
        <v>181</v>
      </c>
      <c r="B224" s="33"/>
      <c r="C224" s="66">
        <v>34242193</v>
      </c>
      <c r="D224" s="124">
        <v>57</v>
      </c>
      <c r="E224" s="5">
        <v>13.936</v>
      </c>
      <c r="F224" s="5">
        <v>14.512</v>
      </c>
      <c r="G224" s="5"/>
      <c r="H224" s="16">
        <f t="shared" si="26"/>
        <v>0</v>
      </c>
      <c r="I224" s="16">
        <f t="shared" si="27"/>
        <v>1.4657142857142857</v>
      </c>
      <c r="J224" s="16"/>
      <c r="K224" s="19">
        <f t="shared" si="20"/>
        <v>1.4657142857142857</v>
      </c>
      <c r="M224" s="13" t="s">
        <v>71</v>
      </c>
      <c r="N224" s="12"/>
      <c r="O224" s="12"/>
    </row>
    <row r="225" spans="1:15" ht="15.75" thickBot="1" x14ac:dyDescent="0.3">
      <c r="A225" s="15">
        <v>182</v>
      </c>
      <c r="B225" s="35"/>
      <c r="C225" s="68">
        <v>34242194</v>
      </c>
      <c r="D225" s="90">
        <v>85.8</v>
      </c>
      <c r="E225" s="8">
        <v>42.561999999999998</v>
      </c>
      <c r="F225" s="8">
        <v>44.502000000000002</v>
      </c>
      <c r="G225" s="8"/>
      <c r="H225" s="91">
        <f t="shared" si="26"/>
        <v>0</v>
      </c>
      <c r="I225" s="16">
        <f t="shared" si="27"/>
        <v>2.206285714285714</v>
      </c>
      <c r="J225" s="16"/>
      <c r="K225" s="19">
        <f t="shared" si="20"/>
        <v>2.206285714285714</v>
      </c>
      <c r="M225" s="13" t="s">
        <v>71</v>
      </c>
      <c r="N225" s="12"/>
      <c r="O225" s="12"/>
    </row>
    <row r="226" spans="1:15" ht="15.75" thickBot="1" x14ac:dyDescent="0.3">
      <c r="A226" s="219" t="s">
        <v>78</v>
      </c>
      <c r="B226" s="220"/>
      <c r="C226" s="220"/>
      <c r="D226" s="92">
        <f>SUM(D174:D225)</f>
        <v>3672.6000000000013</v>
      </c>
      <c r="E226" s="221" t="s">
        <v>79</v>
      </c>
      <c r="F226" s="221"/>
      <c r="G226" s="221"/>
      <c r="H226" s="64">
        <f>SUM(H174:H225)</f>
        <v>20.587405100000009</v>
      </c>
      <c r="I226" s="64">
        <f>SUM(I174:I225)</f>
        <v>24.783428571428569</v>
      </c>
      <c r="J226" s="64">
        <f>SUM(J174:J225)</f>
        <v>14.993166328571416</v>
      </c>
      <c r="K226" s="93">
        <f>SUM(K174:K225)</f>
        <v>60.363999999999969</v>
      </c>
      <c r="M226" s="13"/>
    </row>
    <row r="227" spans="1:15" x14ac:dyDescent="0.25">
      <c r="A227" s="9">
        <v>183</v>
      </c>
      <c r="B227" s="37"/>
      <c r="C227" s="69">
        <v>34242339</v>
      </c>
      <c r="D227" s="130">
        <v>117.2</v>
      </c>
      <c r="E227" s="6">
        <v>59.415999999999997</v>
      </c>
      <c r="F227" s="6">
        <v>61.398000000000003</v>
      </c>
      <c r="G227" s="6"/>
      <c r="H227" s="19">
        <f t="shared" si="26"/>
        <v>0</v>
      </c>
      <c r="I227" s="16">
        <f t="shared" si="27"/>
        <v>3.0137142857142858</v>
      </c>
      <c r="J227" s="16">
        <f t="shared" ref="J227:J230" si="28">D227/($E$32-$E$34)*$J$31</f>
        <v>-0.43238759934789722</v>
      </c>
      <c r="K227" s="19">
        <f>H227+I227+J227</f>
        <v>2.5813266863663884</v>
      </c>
      <c r="M227" s="13" t="s">
        <v>71</v>
      </c>
    </row>
    <row r="228" spans="1:15" x14ac:dyDescent="0.25">
      <c r="A228" s="1">
        <v>184</v>
      </c>
      <c r="B228" s="33"/>
      <c r="C228" s="66">
        <v>34242341</v>
      </c>
      <c r="D228" s="124">
        <v>58.1</v>
      </c>
      <c r="E228" s="5">
        <v>34.662999999999997</v>
      </c>
      <c r="F228" s="5">
        <v>36.072000000000003</v>
      </c>
      <c r="G228" s="5"/>
      <c r="H228" s="16">
        <f t="shared" si="26"/>
        <v>0</v>
      </c>
      <c r="I228" s="16">
        <f t="shared" si="27"/>
        <v>1.4939999999999998</v>
      </c>
      <c r="J228" s="16">
        <f t="shared" si="28"/>
        <v>-0.21434914268014357</v>
      </c>
      <c r="K228" s="19">
        <f t="shared" ref="K228:K291" si="29">H228+I228+J228</f>
        <v>1.2796508573198562</v>
      </c>
      <c r="M228" s="13" t="s">
        <v>71</v>
      </c>
    </row>
    <row r="229" spans="1:15" x14ac:dyDescent="0.25">
      <c r="A229" s="1">
        <v>185</v>
      </c>
      <c r="B229" s="33"/>
      <c r="C229" s="66">
        <v>34242160</v>
      </c>
      <c r="D229" s="124">
        <v>58.4</v>
      </c>
      <c r="E229" s="5">
        <v>14.632</v>
      </c>
      <c r="F229" s="5">
        <v>14.632</v>
      </c>
      <c r="G229" s="5"/>
      <c r="H229" s="16">
        <f t="shared" si="26"/>
        <v>0</v>
      </c>
      <c r="I229" s="16">
        <f t="shared" si="27"/>
        <v>1.5017142857142858</v>
      </c>
      <c r="J229" s="16">
        <f t="shared" si="28"/>
        <v>-0.21545593687642661</v>
      </c>
      <c r="K229" s="19">
        <f t="shared" si="29"/>
        <v>1.2862583488378592</v>
      </c>
      <c r="M229" s="13" t="s">
        <v>71</v>
      </c>
    </row>
    <row r="230" spans="1:15" x14ac:dyDescent="0.25">
      <c r="A230" s="1">
        <v>186</v>
      </c>
      <c r="B230" s="33"/>
      <c r="C230" s="66">
        <v>43441091</v>
      </c>
      <c r="D230" s="124">
        <v>46.7</v>
      </c>
      <c r="E230" s="5">
        <v>33.981000000000002</v>
      </c>
      <c r="F230" s="5">
        <v>35.506999999999998</v>
      </c>
      <c r="G230" s="5"/>
      <c r="H230" s="16">
        <f t="shared" si="26"/>
        <v>0</v>
      </c>
      <c r="I230" s="16">
        <f t="shared" si="27"/>
        <v>1.2008571428571428</v>
      </c>
      <c r="J230" s="16">
        <f t="shared" si="28"/>
        <v>-0.17229096322138909</v>
      </c>
      <c r="K230" s="19">
        <f t="shared" si="29"/>
        <v>1.0285661796357537</v>
      </c>
      <c r="M230" s="13" t="s">
        <v>71</v>
      </c>
    </row>
    <row r="231" spans="1:15" x14ac:dyDescent="0.25">
      <c r="A231" s="1">
        <v>187</v>
      </c>
      <c r="B231" s="47">
        <v>45654</v>
      </c>
      <c r="C231" s="66">
        <v>34242342</v>
      </c>
      <c r="D231" s="125">
        <v>77.400000000000006</v>
      </c>
      <c r="E231" s="5">
        <v>49.48</v>
      </c>
      <c r="F231" s="5">
        <v>50.603999999999999</v>
      </c>
      <c r="G231" s="28">
        <f>F231-E231</f>
        <v>1.1240000000000023</v>
      </c>
      <c r="H231" s="16">
        <f>G231*0.8598</f>
        <v>0.96641520000000203</v>
      </c>
      <c r="I231" s="19"/>
      <c r="J231" s="16"/>
      <c r="K231" s="19">
        <f t="shared" si="29"/>
        <v>0.96641520000000203</v>
      </c>
      <c r="M231" s="13" t="s">
        <v>69</v>
      </c>
    </row>
    <row r="232" spans="1:15" x14ac:dyDescent="0.25">
      <c r="A232" s="1">
        <v>188</v>
      </c>
      <c r="B232" s="34"/>
      <c r="C232" s="66">
        <v>34242334</v>
      </c>
      <c r="D232" s="125">
        <v>117.2</v>
      </c>
      <c r="E232" s="5">
        <v>42.49</v>
      </c>
      <c r="F232" s="5">
        <v>44.271000000000001</v>
      </c>
      <c r="G232" s="28"/>
      <c r="H232" s="16">
        <f t="shared" si="26"/>
        <v>0</v>
      </c>
      <c r="I232" s="16">
        <f t="shared" si="27"/>
        <v>3.0137142857142858</v>
      </c>
      <c r="J232" s="16">
        <f>D232/($E$32-$E$34)*$J$31</f>
        <v>-0.43238759934789722</v>
      </c>
      <c r="K232" s="19">
        <f t="shared" si="29"/>
        <v>2.5813266863663884</v>
      </c>
      <c r="M232" s="13" t="s">
        <v>71</v>
      </c>
    </row>
    <row r="233" spans="1:15" x14ac:dyDescent="0.25">
      <c r="A233" s="1">
        <v>189</v>
      </c>
      <c r="B233" s="47">
        <v>45566</v>
      </c>
      <c r="C233" s="49" t="s">
        <v>89</v>
      </c>
      <c r="D233" s="125">
        <v>58.7</v>
      </c>
      <c r="E233" s="39">
        <v>5.6719999999999997</v>
      </c>
      <c r="F233" s="39">
        <v>6.3272000000000004</v>
      </c>
      <c r="G233" s="28"/>
      <c r="H233" s="16">
        <f>F233-E233</f>
        <v>0.65520000000000067</v>
      </c>
      <c r="I233" s="19"/>
      <c r="J233" s="16"/>
      <c r="K233" s="19">
        <f t="shared" si="29"/>
        <v>0.65520000000000067</v>
      </c>
      <c r="M233" s="13" t="s">
        <v>69</v>
      </c>
    </row>
    <row r="234" spans="1:15" x14ac:dyDescent="0.25">
      <c r="A234" s="1">
        <v>190</v>
      </c>
      <c r="B234" s="48">
        <v>45704</v>
      </c>
      <c r="C234" s="66">
        <v>34242340</v>
      </c>
      <c r="D234" s="125">
        <v>58.2</v>
      </c>
      <c r="E234" s="5">
        <v>36.25</v>
      </c>
      <c r="F234" s="5">
        <v>37.976999999999997</v>
      </c>
      <c r="G234" s="28">
        <f>F234-E234</f>
        <v>1.7269999999999968</v>
      </c>
      <c r="H234" s="16">
        <f t="shared" si="26"/>
        <v>1.4848745999999973</v>
      </c>
      <c r="I234" s="19"/>
      <c r="J234" s="16"/>
      <c r="K234" s="19">
        <f t="shared" si="29"/>
        <v>1.4848745999999973</v>
      </c>
      <c r="M234" s="13" t="s">
        <v>69</v>
      </c>
    </row>
    <row r="235" spans="1:15" x14ac:dyDescent="0.25">
      <c r="A235" s="1">
        <v>191</v>
      </c>
      <c r="B235" s="47">
        <v>45668</v>
      </c>
      <c r="C235" s="10" t="s">
        <v>93</v>
      </c>
      <c r="D235" s="125">
        <v>46.6</v>
      </c>
      <c r="E235" s="5">
        <v>0.16400000000000001</v>
      </c>
      <c r="F235" s="5">
        <v>0.214</v>
      </c>
      <c r="G235" s="58"/>
      <c r="H235" s="16">
        <f>F235-E235</f>
        <v>4.9999999999999989E-2</v>
      </c>
      <c r="I235" s="16"/>
      <c r="J235" s="16"/>
      <c r="K235" s="19">
        <f>H235+I235+J235</f>
        <v>4.9999999999999989E-2</v>
      </c>
      <c r="M235" s="13" t="s">
        <v>69</v>
      </c>
    </row>
    <row r="236" spans="1:15" x14ac:dyDescent="0.25">
      <c r="A236" s="1">
        <v>192</v>
      </c>
      <c r="B236" s="33" t="s">
        <v>59</v>
      </c>
      <c r="C236" s="10" t="s">
        <v>80</v>
      </c>
      <c r="D236" s="125">
        <v>77.3</v>
      </c>
      <c r="E236" s="39">
        <v>2.8159999999999998</v>
      </c>
      <c r="F236" s="39">
        <v>2.98</v>
      </c>
      <c r="G236" s="28"/>
      <c r="H236" s="16">
        <f>F236-E236</f>
        <v>0.16400000000000015</v>
      </c>
      <c r="I236" s="19"/>
      <c r="J236" s="16"/>
      <c r="K236" s="19">
        <f>H236+I236+J236</f>
        <v>0.16400000000000015</v>
      </c>
      <c r="M236" s="13" t="s">
        <v>69</v>
      </c>
    </row>
    <row r="237" spans="1:15" x14ac:dyDescent="0.25">
      <c r="A237" s="1">
        <v>193</v>
      </c>
      <c r="B237" s="47">
        <v>45741</v>
      </c>
      <c r="C237" s="66">
        <v>34242324</v>
      </c>
      <c r="D237" s="125">
        <v>116.7</v>
      </c>
      <c r="E237" s="5">
        <v>11.222</v>
      </c>
      <c r="F237" s="5">
        <v>11.222</v>
      </c>
      <c r="G237" s="28">
        <f>F237-E237</f>
        <v>0</v>
      </c>
      <c r="H237" s="16">
        <f t="shared" si="26"/>
        <v>0</v>
      </c>
      <c r="I237" s="16"/>
      <c r="J237" s="16"/>
      <c r="K237" s="19">
        <f t="shared" si="29"/>
        <v>0</v>
      </c>
      <c r="M237" s="13" t="s">
        <v>69</v>
      </c>
    </row>
    <row r="238" spans="1:15" x14ac:dyDescent="0.25">
      <c r="A238" s="42">
        <v>194</v>
      </c>
      <c r="B238" s="34"/>
      <c r="C238" s="70">
        <v>34242331</v>
      </c>
      <c r="D238" s="59">
        <v>58</v>
      </c>
      <c r="E238" s="5">
        <v>4.4710000000000001</v>
      </c>
      <c r="F238" s="5">
        <v>4.4710000000000001</v>
      </c>
      <c r="G238" s="28"/>
      <c r="H238" s="16">
        <f t="shared" si="26"/>
        <v>0</v>
      </c>
      <c r="I238" s="16">
        <f>((D238*0.015)*12)/7</f>
        <v>1.4914285714285713</v>
      </c>
      <c r="J238" s="16">
        <f>D238/($E$32-$E$34)*$J$31</f>
        <v>-0.21398021128138259</v>
      </c>
      <c r="K238" s="19">
        <f t="shared" si="29"/>
        <v>1.2774483601471887</v>
      </c>
      <c r="M238" s="13" t="s">
        <v>71</v>
      </c>
    </row>
    <row r="239" spans="1:15" x14ac:dyDescent="0.25">
      <c r="A239" s="1">
        <v>195</v>
      </c>
      <c r="B239" s="47">
        <v>45553</v>
      </c>
      <c r="C239" s="10" t="s">
        <v>98</v>
      </c>
      <c r="D239" s="125">
        <v>58.1</v>
      </c>
      <c r="E239" s="39">
        <v>2.3119999999999998</v>
      </c>
      <c r="F239" s="39">
        <v>2.7519999999999998</v>
      </c>
      <c r="G239" s="28"/>
      <c r="H239" s="16">
        <f>F239-E239</f>
        <v>0.43999999999999995</v>
      </c>
      <c r="I239" s="19"/>
      <c r="J239" s="16"/>
      <c r="K239" s="19">
        <f>H239+I239+J239</f>
        <v>0.43999999999999995</v>
      </c>
      <c r="M239" s="13" t="s">
        <v>69</v>
      </c>
    </row>
    <row r="240" spans="1:15" x14ac:dyDescent="0.25">
      <c r="A240" s="1">
        <v>196</v>
      </c>
      <c r="B240" s="47">
        <v>45553</v>
      </c>
      <c r="C240" s="10" t="s">
        <v>99</v>
      </c>
      <c r="D240" s="125">
        <v>46.7</v>
      </c>
      <c r="E240" s="39">
        <v>1.3360000000000001</v>
      </c>
      <c r="F240" s="39">
        <v>1.5980000000000001</v>
      </c>
      <c r="G240" s="28"/>
      <c r="H240" s="16">
        <f>F240-E240</f>
        <v>0.26200000000000001</v>
      </c>
      <c r="I240" s="19"/>
      <c r="J240" s="16"/>
      <c r="K240" s="19">
        <f t="shared" si="29"/>
        <v>0.26200000000000001</v>
      </c>
      <c r="L240" s="24"/>
      <c r="M240" s="13" t="s">
        <v>69</v>
      </c>
    </row>
    <row r="241" spans="1:13" x14ac:dyDescent="0.25">
      <c r="A241" s="9">
        <v>197</v>
      </c>
      <c r="B241" s="105">
        <v>45955</v>
      </c>
      <c r="C241" s="69" t="s">
        <v>114</v>
      </c>
      <c r="D241" s="132">
        <v>77.5</v>
      </c>
      <c r="E241" s="39">
        <v>3.2280000000000002</v>
      </c>
      <c r="F241" s="39">
        <v>4.7533000000000003</v>
      </c>
      <c r="G241" s="28"/>
      <c r="H241" s="16">
        <f>F241-E241</f>
        <v>1.5253000000000001</v>
      </c>
      <c r="I241" s="16"/>
      <c r="J241" s="16"/>
      <c r="K241" s="19">
        <f t="shared" si="29"/>
        <v>1.5253000000000001</v>
      </c>
      <c r="L241" s="24"/>
      <c r="M241" s="13" t="s">
        <v>69</v>
      </c>
    </row>
    <row r="242" spans="1:13" x14ac:dyDescent="0.25">
      <c r="A242" s="1">
        <v>198</v>
      </c>
      <c r="B242" s="47">
        <v>45900</v>
      </c>
      <c r="C242" s="66">
        <v>34242333</v>
      </c>
      <c r="D242" s="125">
        <v>116.5</v>
      </c>
      <c r="E242" s="5">
        <v>36.630000000000003</v>
      </c>
      <c r="F242" s="5">
        <v>38.034999999999997</v>
      </c>
      <c r="G242" s="28">
        <f>F242-E242</f>
        <v>1.404999999999994</v>
      </c>
      <c r="H242" s="16">
        <f t="shared" ref="H242:H263" si="30">G242*0.8598</f>
        <v>1.2080189999999948</v>
      </c>
      <c r="I242" s="19"/>
      <c r="J242" s="16"/>
      <c r="K242" s="19">
        <f t="shared" si="29"/>
        <v>1.2080189999999948</v>
      </c>
      <c r="L242" s="24"/>
      <c r="M242" s="13" t="s">
        <v>69</v>
      </c>
    </row>
    <row r="243" spans="1:13" x14ac:dyDescent="0.25">
      <c r="A243" s="1">
        <v>199</v>
      </c>
      <c r="B243" s="33"/>
      <c r="C243" s="66">
        <v>34242330</v>
      </c>
      <c r="D243" s="125">
        <v>58.8</v>
      </c>
      <c r="E243" s="5">
        <v>43.034999999999997</v>
      </c>
      <c r="F243" s="5">
        <v>44.265999999999998</v>
      </c>
      <c r="G243" s="28"/>
      <c r="H243" s="16">
        <f t="shared" si="30"/>
        <v>0</v>
      </c>
      <c r="I243" s="16">
        <f>((D243*0.015)*12)/7</f>
        <v>1.512</v>
      </c>
      <c r="J243" s="16">
        <f>D243/($E$32-$E$34)*$J$31</f>
        <v>-0.21693166247147061</v>
      </c>
      <c r="K243" s="19">
        <f t="shared" si="29"/>
        <v>1.2950683375285295</v>
      </c>
      <c r="M243" s="13" t="s">
        <v>71</v>
      </c>
    </row>
    <row r="244" spans="1:13" x14ac:dyDescent="0.25">
      <c r="A244" s="1">
        <v>200</v>
      </c>
      <c r="B244" s="47">
        <v>45873</v>
      </c>
      <c r="C244" s="66">
        <v>34242329</v>
      </c>
      <c r="D244" s="125">
        <v>58.6</v>
      </c>
      <c r="E244" s="5">
        <v>5.944</v>
      </c>
      <c r="F244" s="5">
        <v>6.6859999999999999</v>
      </c>
      <c r="G244" s="28">
        <f>F244-E244</f>
        <v>0.74199999999999999</v>
      </c>
      <c r="H244" s="16">
        <f t="shared" si="30"/>
        <v>0.63797159999999997</v>
      </c>
      <c r="I244" s="16"/>
      <c r="J244" s="16"/>
      <c r="K244" s="19">
        <f t="shared" si="29"/>
        <v>0.63797159999999997</v>
      </c>
      <c r="M244" s="13" t="s">
        <v>69</v>
      </c>
    </row>
    <row r="245" spans="1:13" x14ac:dyDescent="0.25">
      <c r="A245" s="1">
        <v>201</v>
      </c>
      <c r="B245" s="47">
        <v>45650</v>
      </c>
      <c r="C245" s="66">
        <v>34242326</v>
      </c>
      <c r="D245" s="125">
        <v>46.4</v>
      </c>
      <c r="E245" s="5">
        <v>34.451000000000001</v>
      </c>
      <c r="F245" s="5">
        <v>34.927</v>
      </c>
      <c r="G245" s="28">
        <f>F245-E245</f>
        <v>0.47599999999999909</v>
      </c>
      <c r="H245" s="16">
        <f>G245*0.8598</f>
        <v>0.40926479999999921</v>
      </c>
      <c r="I245" s="19"/>
      <c r="J245" s="16"/>
      <c r="K245" s="19">
        <f t="shared" si="29"/>
        <v>0.40926479999999921</v>
      </c>
      <c r="M245" s="13" t="s">
        <v>69</v>
      </c>
    </row>
    <row r="246" spans="1:13" x14ac:dyDescent="0.25">
      <c r="A246" s="1">
        <v>202</v>
      </c>
      <c r="B246" s="33" t="s">
        <v>59</v>
      </c>
      <c r="C246" s="94" t="s">
        <v>60</v>
      </c>
      <c r="D246" s="125">
        <v>77.5</v>
      </c>
      <c r="E246" s="39">
        <v>12.986000000000001</v>
      </c>
      <c r="F246" s="39">
        <v>14.206</v>
      </c>
      <c r="G246" s="58"/>
      <c r="H246" s="16">
        <f>F246-E246</f>
        <v>1.2199999999999989</v>
      </c>
      <c r="I246" s="19"/>
      <c r="J246" s="16"/>
      <c r="K246" s="19">
        <f>H246+I246+J246</f>
        <v>1.2199999999999989</v>
      </c>
      <c r="M246" s="13" t="s">
        <v>69</v>
      </c>
    </row>
    <row r="247" spans="1:13" x14ac:dyDescent="0.25">
      <c r="A247" s="1">
        <v>203</v>
      </c>
      <c r="B247" s="33"/>
      <c r="C247" s="66">
        <v>43441405</v>
      </c>
      <c r="D247" s="125">
        <v>117.4</v>
      </c>
      <c r="E247" s="5">
        <v>57.765999999999998</v>
      </c>
      <c r="F247" s="5">
        <v>59.481999999999999</v>
      </c>
      <c r="G247" s="28"/>
      <c r="H247" s="16">
        <f t="shared" si="30"/>
        <v>0</v>
      </c>
      <c r="I247" s="16">
        <f>((D247*0.015)*12)/7</f>
        <v>3.0188571428571431</v>
      </c>
      <c r="J247" s="16">
        <f t="shared" ref="J247:J251" si="31">D247/($E$32-$E$34)*$J$31</f>
        <v>-0.43312546214541925</v>
      </c>
      <c r="K247" s="19">
        <f t="shared" si="29"/>
        <v>2.5857316807117239</v>
      </c>
      <c r="M247" s="13" t="s">
        <v>71</v>
      </c>
    </row>
    <row r="248" spans="1:13" x14ac:dyDescent="0.25">
      <c r="A248" s="1">
        <v>204</v>
      </c>
      <c r="B248" s="33"/>
      <c r="C248" s="66">
        <v>43441406</v>
      </c>
      <c r="D248" s="125">
        <v>57.9</v>
      </c>
      <c r="E248" s="5">
        <v>7.2160000000000002</v>
      </c>
      <c r="F248" s="5">
        <v>7.2990000000000004</v>
      </c>
      <c r="G248" s="28"/>
      <c r="H248" s="16">
        <f t="shared" si="30"/>
        <v>0</v>
      </c>
      <c r="I248" s="16">
        <f>((D248*0.015)*12)/7</f>
        <v>1.4888571428571427</v>
      </c>
      <c r="J248" s="16">
        <f t="shared" si="31"/>
        <v>-0.21361127988262157</v>
      </c>
      <c r="K248" s="19">
        <f t="shared" si="29"/>
        <v>1.2752458629745211</v>
      </c>
      <c r="M248" s="13" t="s">
        <v>71</v>
      </c>
    </row>
    <row r="249" spans="1:13" x14ac:dyDescent="0.25">
      <c r="A249" s="1">
        <v>205</v>
      </c>
      <c r="B249" s="33"/>
      <c r="C249" s="66">
        <v>43441089</v>
      </c>
      <c r="D249" s="125">
        <v>58.3</v>
      </c>
      <c r="E249" s="5">
        <v>32.481999999999999</v>
      </c>
      <c r="F249" s="5">
        <v>33.584000000000003</v>
      </c>
      <c r="G249" s="28"/>
      <c r="H249" s="16">
        <f t="shared" si="30"/>
        <v>0</v>
      </c>
      <c r="I249" s="16">
        <f>((D249*0.015)*12)/7</f>
        <v>1.4991428571428571</v>
      </c>
      <c r="J249" s="16">
        <f t="shared" si="31"/>
        <v>-0.2150870054776656</v>
      </c>
      <c r="K249" s="19">
        <f t="shared" si="29"/>
        <v>1.2840558516651914</v>
      </c>
      <c r="M249" s="13" t="s">
        <v>71</v>
      </c>
    </row>
    <row r="250" spans="1:13" x14ac:dyDescent="0.25">
      <c r="A250" s="1">
        <v>206</v>
      </c>
      <c r="B250" s="34"/>
      <c r="C250" s="66">
        <v>20242434</v>
      </c>
      <c r="D250" s="125">
        <v>46.3</v>
      </c>
      <c r="E250" s="5">
        <v>15.007</v>
      </c>
      <c r="F250" s="5">
        <v>16.254999999999999</v>
      </c>
      <c r="G250" s="28"/>
      <c r="H250" s="16">
        <f t="shared" si="30"/>
        <v>0</v>
      </c>
      <c r="I250" s="16">
        <f>((D250*0.015)*12)/7</f>
        <v>1.1905714285714286</v>
      </c>
      <c r="J250" s="16">
        <f t="shared" si="31"/>
        <v>-0.17081523762634504</v>
      </c>
      <c r="K250" s="19">
        <f t="shared" si="29"/>
        <v>1.0197561909450836</v>
      </c>
      <c r="M250" s="13" t="s">
        <v>71</v>
      </c>
    </row>
    <row r="251" spans="1:13" x14ac:dyDescent="0.25">
      <c r="A251" s="1">
        <v>207</v>
      </c>
      <c r="B251" s="33"/>
      <c r="C251" s="66">
        <v>43441407</v>
      </c>
      <c r="D251" s="125">
        <v>77.900000000000006</v>
      </c>
      <c r="E251" s="5">
        <v>25.131</v>
      </c>
      <c r="F251" s="5">
        <v>26.331</v>
      </c>
      <c r="G251" s="28"/>
      <c r="H251" s="16">
        <f t="shared" si="30"/>
        <v>0</v>
      </c>
      <c r="I251" s="16">
        <f>((D251*0.015)*12)/7</f>
        <v>2.0031428571428576</v>
      </c>
      <c r="J251" s="16">
        <f t="shared" si="31"/>
        <v>-0.2873975596348225</v>
      </c>
      <c r="K251" s="19">
        <f t="shared" si="29"/>
        <v>1.7157452975080352</v>
      </c>
      <c r="M251" s="13" t="s">
        <v>71</v>
      </c>
    </row>
    <row r="252" spans="1:13" x14ac:dyDescent="0.25">
      <c r="A252" s="1">
        <v>208</v>
      </c>
      <c r="B252" s="47">
        <v>45915</v>
      </c>
      <c r="C252" s="66">
        <v>43441412</v>
      </c>
      <c r="D252" s="125">
        <v>117.9</v>
      </c>
      <c r="E252" s="5">
        <v>46.496000000000002</v>
      </c>
      <c r="F252" s="5">
        <v>47.844999999999999</v>
      </c>
      <c r="G252" s="28">
        <f>F252-E252</f>
        <v>1.3489999999999966</v>
      </c>
      <c r="H252" s="16">
        <f>G252*0.8598</f>
        <v>1.1598701999999972</v>
      </c>
      <c r="I252" s="16"/>
      <c r="J252" s="16"/>
      <c r="K252" s="19">
        <f>H252+I252+J252</f>
        <v>1.1598701999999972</v>
      </c>
      <c r="M252" s="13" t="s">
        <v>69</v>
      </c>
    </row>
    <row r="253" spans="1:13" x14ac:dyDescent="0.25">
      <c r="A253" s="1">
        <v>209</v>
      </c>
      <c r="B253" s="53"/>
      <c r="C253" s="66">
        <v>43441411</v>
      </c>
      <c r="D253" s="125">
        <v>58.2</v>
      </c>
      <c r="E253" s="5">
        <v>25.44</v>
      </c>
      <c r="F253" s="5">
        <v>26.684999999999999</v>
      </c>
      <c r="G253" s="28"/>
      <c r="H253" s="16">
        <f t="shared" si="30"/>
        <v>0</v>
      </c>
      <c r="I253" s="16">
        <f>((D253*0.015)*12)/7</f>
        <v>1.4965714285714284</v>
      </c>
      <c r="J253" s="16">
        <f t="shared" ref="J253:J256" si="32">D253/($E$32-$E$34)*$J$31</f>
        <v>-0.21471807407890459</v>
      </c>
      <c r="K253" s="19">
        <f t="shared" si="29"/>
        <v>1.2818533544925239</v>
      </c>
      <c r="M253" s="13" t="s">
        <v>71</v>
      </c>
    </row>
    <row r="254" spans="1:13" x14ac:dyDescent="0.25">
      <c r="A254" s="1">
        <v>210</v>
      </c>
      <c r="B254" s="33"/>
      <c r="C254" s="66">
        <v>43441408</v>
      </c>
      <c r="D254" s="125">
        <v>58.6</v>
      </c>
      <c r="E254" s="5">
        <v>6.0659999999999998</v>
      </c>
      <c r="F254" s="5">
        <v>6.0659999999999998</v>
      </c>
      <c r="G254" s="28"/>
      <c r="H254" s="16">
        <f t="shared" si="30"/>
        <v>0</v>
      </c>
      <c r="I254" s="16">
        <f>((D254*0.015)*12)/7</f>
        <v>1.5068571428571429</v>
      </c>
      <c r="J254" s="16">
        <f t="shared" si="32"/>
        <v>-0.21619379967394861</v>
      </c>
      <c r="K254" s="19">
        <f t="shared" si="29"/>
        <v>1.2906633431831942</v>
      </c>
      <c r="M254" s="13" t="s">
        <v>71</v>
      </c>
    </row>
    <row r="255" spans="1:13" x14ac:dyDescent="0.25">
      <c r="A255" s="1">
        <v>211</v>
      </c>
      <c r="B255" s="33"/>
      <c r="C255" s="66">
        <v>43441409</v>
      </c>
      <c r="D255" s="125">
        <v>46.7</v>
      </c>
      <c r="E255" s="5">
        <v>29.265000000000001</v>
      </c>
      <c r="F255" s="5">
        <v>30.13</v>
      </c>
      <c r="G255" s="28"/>
      <c r="H255" s="16">
        <f t="shared" si="30"/>
        <v>0</v>
      </c>
      <c r="I255" s="16">
        <f>((D255*0.015)*12)/7</f>
        <v>1.2008571428571428</v>
      </c>
      <c r="J255" s="16">
        <f t="shared" si="32"/>
        <v>-0.17229096322138909</v>
      </c>
      <c r="K255" s="19">
        <f t="shared" si="29"/>
        <v>1.0285661796357537</v>
      </c>
      <c r="M255" s="13" t="s">
        <v>71</v>
      </c>
    </row>
    <row r="256" spans="1:13" x14ac:dyDescent="0.25">
      <c r="A256" s="1">
        <v>212</v>
      </c>
      <c r="B256" s="33"/>
      <c r="C256" s="66">
        <v>43441410</v>
      </c>
      <c r="D256" s="125">
        <v>78.599999999999994</v>
      </c>
      <c r="E256" s="5">
        <v>41.359000000000002</v>
      </c>
      <c r="F256" s="5">
        <v>42.527000000000001</v>
      </c>
      <c r="G256" s="28"/>
      <c r="H256" s="16">
        <f t="shared" si="30"/>
        <v>0</v>
      </c>
      <c r="I256" s="16">
        <f>((D256*0.015)*12)/7</f>
        <v>2.0211428571428569</v>
      </c>
      <c r="J256" s="16">
        <f t="shared" si="32"/>
        <v>-0.28998007942614951</v>
      </c>
      <c r="K256" s="19">
        <f t="shared" si="29"/>
        <v>1.7311627777167073</v>
      </c>
      <c r="M256" s="13" t="s">
        <v>71</v>
      </c>
    </row>
    <row r="257" spans="1:13" x14ac:dyDescent="0.25">
      <c r="A257" s="1">
        <v>213</v>
      </c>
      <c r="B257" s="47">
        <v>45803</v>
      </c>
      <c r="C257" s="66">
        <v>43441403</v>
      </c>
      <c r="D257" s="125">
        <v>117.8</v>
      </c>
      <c r="E257" s="5">
        <v>47.308999999999997</v>
      </c>
      <c r="F257" s="5">
        <v>48.542999999999999</v>
      </c>
      <c r="G257" s="28">
        <f>F257-E257</f>
        <v>1.2340000000000018</v>
      </c>
      <c r="H257" s="16">
        <f t="shared" si="30"/>
        <v>1.0609932000000015</v>
      </c>
      <c r="I257" s="19"/>
      <c r="J257" s="16"/>
      <c r="K257" s="19">
        <f t="shared" si="29"/>
        <v>1.0609932000000015</v>
      </c>
      <c r="M257" s="13" t="s">
        <v>69</v>
      </c>
    </row>
    <row r="258" spans="1:13" x14ac:dyDescent="0.25">
      <c r="A258" s="1">
        <v>214</v>
      </c>
      <c r="B258" s="33"/>
      <c r="C258" s="66">
        <v>43441398</v>
      </c>
      <c r="D258" s="125">
        <v>57.8</v>
      </c>
      <c r="E258" s="5">
        <v>15.759</v>
      </c>
      <c r="F258" s="5">
        <v>16.146000000000001</v>
      </c>
      <c r="G258" s="28"/>
      <c r="H258" s="16">
        <f t="shared" si="30"/>
        <v>0</v>
      </c>
      <c r="I258" s="16">
        <f>((D258*0.015)*12)/7</f>
        <v>1.486285714285714</v>
      </c>
      <c r="J258" s="16">
        <f t="shared" ref="J258:J259" si="33">D258/($E$32-$E$34)*$J$31</f>
        <v>-0.21324234848386056</v>
      </c>
      <c r="K258" s="19">
        <f t="shared" si="29"/>
        <v>1.2730433658018534</v>
      </c>
      <c r="M258" s="13" t="s">
        <v>71</v>
      </c>
    </row>
    <row r="259" spans="1:13" x14ac:dyDescent="0.25">
      <c r="A259" s="1">
        <v>215</v>
      </c>
      <c r="B259" s="33"/>
      <c r="C259" s="66">
        <v>43441413</v>
      </c>
      <c r="D259" s="125">
        <v>58.8</v>
      </c>
      <c r="E259" s="5">
        <v>28.908000000000001</v>
      </c>
      <c r="F259" s="5">
        <v>29.207999999999998</v>
      </c>
      <c r="G259" s="28"/>
      <c r="H259" s="16">
        <f t="shared" si="30"/>
        <v>0</v>
      </c>
      <c r="I259" s="16">
        <f>((D259*0.015)*12)/7</f>
        <v>1.512</v>
      </c>
      <c r="J259" s="16">
        <f t="shared" si="33"/>
        <v>-0.21693166247147061</v>
      </c>
      <c r="K259" s="19">
        <f t="shared" si="29"/>
        <v>1.2950683375285295</v>
      </c>
      <c r="M259" s="13" t="s">
        <v>71</v>
      </c>
    </row>
    <row r="260" spans="1:13" x14ac:dyDescent="0.25">
      <c r="A260" s="1">
        <v>216</v>
      </c>
      <c r="B260" s="47">
        <v>45939</v>
      </c>
      <c r="C260" s="66">
        <v>43441401</v>
      </c>
      <c r="D260" s="125">
        <v>46.6</v>
      </c>
      <c r="E260" s="5">
        <v>40.113999999999997</v>
      </c>
      <c r="F260" s="5">
        <v>41.018000000000001</v>
      </c>
      <c r="G260" s="28">
        <f>F260-E260</f>
        <v>0.90400000000000347</v>
      </c>
      <c r="H260" s="16">
        <f t="shared" si="30"/>
        <v>0.77725920000000304</v>
      </c>
      <c r="I260" s="19"/>
      <c r="J260" s="16"/>
      <c r="K260" s="19">
        <f t="shared" si="29"/>
        <v>0.77725920000000304</v>
      </c>
      <c r="M260" s="13" t="s">
        <v>69</v>
      </c>
    </row>
    <row r="261" spans="1:13" x14ac:dyDescent="0.25">
      <c r="A261" s="1">
        <v>217</v>
      </c>
      <c r="B261" s="33"/>
      <c r="C261" s="66">
        <v>43441404</v>
      </c>
      <c r="D261" s="125">
        <v>78.400000000000006</v>
      </c>
      <c r="E261" s="5">
        <v>36.81</v>
      </c>
      <c r="F261" s="5">
        <v>38.036999999999999</v>
      </c>
      <c r="G261" s="28"/>
      <c r="H261" s="16">
        <f t="shared" si="30"/>
        <v>0</v>
      </c>
      <c r="I261" s="16">
        <f>((D261*0.015)*12)/7</f>
        <v>2.0159999999999996</v>
      </c>
      <c r="J261" s="16">
        <f>D261/($E$32-$E$34)*$J$31</f>
        <v>-0.28924221662862748</v>
      </c>
      <c r="K261" s="19">
        <f t="shared" si="29"/>
        <v>1.7267577833713721</v>
      </c>
      <c r="M261" s="13" t="s">
        <v>71</v>
      </c>
    </row>
    <row r="262" spans="1:13" x14ac:dyDescent="0.25">
      <c r="A262" s="1">
        <v>218</v>
      </c>
      <c r="B262" s="47">
        <v>45896</v>
      </c>
      <c r="C262" s="66">
        <v>43441396</v>
      </c>
      <c r="D262" s="125">
        <v>118.2</v>
      </c>
      <c r="E262" s="5">
        <v>19.77</v>
      </c>
      <c r="F262" s="5">
        <v>19.77</v>
      </c>
      <c r="G262" s="28">
        <f>F262-E262</f>
        <v>0</v>
      </c>
      <c r="H262" s="16">
        <f t="shared" si="30"/>
        <v>0</v>
      </c>
      <c r="I262" s="16"/>
      <c r="J262" s="16"/>
      <c r="K262" s="19">
        <f t="shared" si="29"/>
        <v>0</v>
      </c>
      <c r="M262" s="13" t="s">
        <v>69</v>
      </c>
    </row>
    <row r="263" spans="1:13" x14ac:dyDescent="0.25">
      <c r="A263" s="1">
        <v>219</v>
      </c>
      <c r="B263" s="33"/>
      <c r="C263" s="66">
        <v>43441399</v>
      </c>
      <c r="D263" s="125">
        <v>58.3</v>
      </c>
      <c r="E263" s="5">
        <v>33.399000000000001</v>
      </c>
      <c r="F263" s="5">
        <v>35.905000000000001</v>
      </c>
      <c r="G263" s="28"/>
      <c r="H263" s="16">
        <f t="shared" si="30"/>
        <v>0</v>
      </c>
      <c r="I263" s="16">
        <f>((D263*0.015)*12)/7</f>
        <v>1.4991428571428571</v>
      </c>
      <c r="J263" s="16">
        <f>D263/($E$32-$E$34)*$J$31</f>
        <v>-0.2150870054776656</v>
      </c>
      <c r="K263" s="19">
        <f t="shared" si="29"/>
        <v>1.2840558516651914</v>
      </c>
      <c r="M263" s="13" t="s">
        <v>71</v>
      </c>
    </row>
    <row r="264" spans="1:13" x14ac:dyDescent="0.25">
      <c r="A264" s="1">
        <v>220</v>
      </c>
      <c r="B264" s="47">
        <v>45566</v>
      </c>
      <c r="C264" s="10" t="s">
        <v>95</v>
      </c>
      <c r="D264" s="125">
        <v>59.4</v>
      </c>
      <c r="E264" s="39">
        <v>0.84</v>
      </c>
      <c r="F264" s="39">
        <v>1.0610999999999999</v>
      </c>
      <c r="G264" s="28"/>
      <c r="H264" s="16">
        <f>F264-E264</f>
        <v>0.22109999999999996</v>
      </c>
      <c r="I264" s="16"/>
      <c r="J264" s="16"/>
      <c r="K264" s="19">
        <f t="shared" si="29"/>
        <v>0.22109999999999996</v>
      </c>
      <c r="M264" s="13" t="s">
        <v>69</v>
      </c>
    </row>
    <row r="265" spans="1:13" x14ac:dyDescent="0.25">
      <c r="A265" s="1">
        <v>221</v>
      </c>
      <c r="B265" s="47">
        <v>45727</v>
      </c>
      <c r="C265" s="71">
        <v>43441397</v>
      </c>
      <c r="D265" s="125">
        <v>46.9</v>
      </c>
      <c r="E265" s="5">
        <v>8.2100000000000009</v>
      </c>
      <c r="F265" s="5">
        <v>8.423</v>
      </c>
      <c r="G265" s="28">
        <f>F265-E265</f>
        <v>0.21299999999999919</v>
      </c>
      <c r="H265" s="16">
        <f>G265*0.8598</f>
        <v>0.18313739999999931</v>
      </c>
      <c r="I265" s="16"/>
      <c r="J265" s="16"/>
      <c r="K265" s="19">
        <f t="shared" si="29"/>
        <v>0.18313739999999931</v>
      </c>
      <c r="M265" s="13" t="s">
        <v>69</v>
      </c>
    </row>
    <row r="266" spans="1:13" x14ac:dyDescent="0.25">
      <c r="A266" s="1">
        <v>222</v>
      </c>
      <c r="B266" s="47">
        <v>45570</v>
      </c>
      <c r="C266" s="71">
        <v>43441402</v>
      </c>
      <c r="D266" s="125">
        <v>77.7</v>
      </c>
      <c r="E266" s="5">
        <v>61.430999999999997</v>
      </c>
      <c r="F266" s="5">
        <v>63.021000000000001</v>
      </c>
      <c r="G266" s="28">
        <f>F266-E266</f>
        <v>1.5900000000000034</v>
      </c>
      <c r="H266" s="16">
        <f t="shared" ref="H266:H288" si="34">G266*0.8598</f>
        <v>1.367082000000003</v>
      </c>
      <c r="I266" s="19"/>
      <c r="J266" s="16"/>
      <c r="K266" s="19">
        <f t="shared" si="29"/>
        <v>1.367082000000003</v>
      </c>
      <c r="M266" s="13" t="s">
        <v>69</v>
      </c>
    </row>
    <row r="267" spans="1:13" x14ac:dyDescent="0.25">
      <c r="A267" s="1">
        <v>223</v>
      </c>
      <c r="B267" s="47">
        <v>45790</v>
      </c>
      <c r="C267" s="71">
        <v>43441209</v>
      </c>
      <c r="D267" s="125">
        <v>118.6</v>
      </c>
      <c r="E267" s="5">
        <v>81.483000000000004</v>
      </c>
      <c r="F267" s="5">
        <v>83.129000000000005</v>
      </c>
      <c r="G267" s="28">
        <f>F267-E267</f>
        <v>1.6460000000000008</v>
      </c>
      <c r="H267" s="16">
        <f t="shared" si="34"/>
        <v>1.4152308000000007</v>
      </c>
      <c r="I267" s="19"/>
      <c r="J267" s="16"/>
      <c r="K267" s="19">
        <f t="shared" si="29"/>
        <v>1.4152308000000007</v>
      </c>
      <c r="M267" s="13" t="s">
        <v>69</v>
      </c>
    </row>
    <row r="268" spans="1:13" x14ac:dyDescent="0.25">
      <c r="A268" s="1">
        <v>224</v>
      </c>
      <c r="B268" s="47">
        <v>45940</v>
      </c>
      <c r="C268" s="71">
        <v>43441210</v>
      </c>
      <c r="D268" s="125">
        <v>56.8</v>
      </c>
      <c r="E268" s="5">
        <v>12.502000000000001</v>
      </c>
      <c r="F268" s="5">
        <v>13.131</v>
      </c>
      <c r="G268" s="28">
        <f>F268-E268</f>
        <v>0.62899999999999956</v>
      </c>
      <c r="H268" s="16">
        <f t="shared" si="34"/>
        <v>0.54081419999999958</v>
      </c>
      <c r="I268" s="19"/>
      <c r="J268" s="16"/>
      <c r="K268" s="19">
        <f t="shared" si="29"/>
        <v>0.54081419999999958</v>
      </c>
      <c r="M268" s="13" t="s">
        <v>69</v>
      </c>
    </row>
    <row r="269" spans="1:13" x14ac:dyDescent="0.25">
      <c r="A269" s="1">
        <v>225</v>
      </c>
      <c r="B269" s="33"/>
      <c r="C269" s="71">
        <v>43441214</v>
      </c>
      <c r="D269" s="125">
        <v>58.9</v>
      </c>
      <c r="E269" s="5">
        <v>38.713999999999999</v>
      </c>
      <c r="F269" s="5">
        <v>39.811999999999998</v>
      </c>
      <c r="G269" s="28"/>
      <c r="H269" s="16">
        <f t="shared" si="34"/>
        <v>0</v>
      </c>
      <c r="I269" s="16">
        <f t="shared" ref="I269:I275" si="35">((D269*0.015)*12)/7</f>
        <v>1.5145714285714287</v>
      </c>
      <c r="J269" s="16">
        <f t="shared" ref="J269:J270" si="36">D269/($E$32-$E$34)*$J$31</f>
        <v>-0.21730059387023162</v>
      </c>
      <c r="K269" s="19">
        <f t="shared" si="29"/>
        <v>1.297270834701197</v>
      </c>
      <c r="M269" s="13" t="s">
        <v>71</v>
      </c>
    </row>
    <row r="270" spans="1:13" x14ac:dyDescent="0.25">
      <c r="A270" s="1">
        <v>226</v>
      </c>
      <c r="B270" s="33"/>
      <c r="C270" s="71">
        <v>43441215</v>
      </c>
      <c r="D270" s="125">
        <v>46.8</v>
      </c>
      <c r="E270" s="5">
        <v>24.05</v>
      </c>
      <c r="F270" s="5">
        <v>25.065000000000001</v>
      </c>
      <c r="G270" s="28"/>
      <c r="H270" s="16">
        <f t="shared" si="34"/>
        <v>0</v>
      </c>
      <c r="I270" s="16">
        <f t="shared" si="35"/>
        <v>1.2034285714285713</v>
      </c>
      <c r="J270" s="16">
        <f t="shared" si="36"/>
        <v>-0.17265989462015005</v>
      </c>
      <c r="K270" s="19">
        <f t="shared" si="29"/>
        <v>1.0307686768084212</v>
      </c>
      <c r="M270" s="13" t="s">
        <v>71</v>
      </c>
    </row>
    <row r="271" spans="1:13" x14ac:dyDescent="0.25">
      <c r="A271" s="1">
        <v>227</v>
      </c>
      <c r="B271" s="47">
        <v>45927</v>
      </c>
      <c r="C271" s="71" t="s">
        <v>105</v>
      </c>
      <c r="D271" s="125">
        <v>78.2</v>
      </c>
      <c r="E271" s="5">
        <v>2.0129999999999999</v>
      </c>
      <c r="F271" s="5">
        <v>2.8330000000000002</v>
      </c>
      <c r="G271" s="28"/>
      <c r="H271" s="16">
        <f>F271-E271</f>
        <v>0.82000000000000028</v>
      </c>
      <c r="I271" s="16"/>
      <c r="J271" s="16"/>
      <c r="K271" s="19">
        <f t="shared" si="29"/>
        <v>0.82000000000000028</v>
      </c>
      <c r="M271" s="13" t="s">
        <v>69</v>
      </c>
    </row>
    <row r="272" spans="1:13" x14ac:dyDescent="0.25">
      <c r="A272" s="1">
        <v>228</v>
      </c>
      <c r="B272" s="33"/>
      <c r="C272" s="71">
        <v>43441212</v>
      </c>
      <c r="D272" s="125">
        <v>117.5</v>
      </c>
      <c r="E272" s="5">
        <v>39.338000000000001</v>
      </c>
      <c r="F272" s="5">
        <v>39.338000000000001</v>
      </c>
      <c r="G272" s="28"/>
      <c r="H272" s="16">
        <f t="shared" si="34"/>
        <v>0</v>
      </c>
      <c r="I272" s="16">
        <f t="shared" si="35"/>
        <v>3.0214285714285714</v>
      </c>
      <c r="J272" s="16">
        <f t="shared" ref="J272:J273" si="37">D272/($E$32-$E$34)*$J$31</f>
        <v>-0.43349439354418023</v>
      </c>
      <c r="K272" s="19">
        <f>H272+I272+J272</f>
        <v>2.587934177884391</v>
      </c>
      <c r="M272" s="13" t="s">
        <v>71</v>
      </c>
    </row>
    <row r="273" spans="1:13" x14ac:dyDescent="0.25">
      <c r="A273" s="1">
        <v>229</v>
      </c>
      <c r="B273" s="33"/>
      <c r="C273" s="71">
        <v>43441218</v>
      </c>
      <c r="D273" s="125">
        <v>57.8</v>
      </c>
      <c r="E273" s="5">
        <v>21.702000000000002</v>
      </c>
      <c r="F273" s="5">
        <v>21.702000000000002</v>
      </c>
      <c r="G273" s="28"/>
      <c r="H273" s="16">
        <f t="shared" si="34"/>
        <v>0</v>
      </c>
      <c r="I273" s="16">
        <f t="shared" si="35"/>
        <v>1.486285714285714</v>
      </c>
      <c r="J273" s="16">
        <f t="shared" si="37"/>
        <v>-0.21324234848386056</v>
      </c>
      <c r="K273" s="19">
        <f>H273+I273+J273</f>
        <v>1.2730433658018534</v>
      </c>
      <c r="M273" s="13" t="s">
        <v>71</v>
      </c>
    </row>
    <row r="274" spans="1:13" x14ac:dyDescent="0.25">
      <c r="A274" s="1">
        <v>230</v>
      </c>
      <c r="B274" s="47">
        <v>45914</v>
      </c>
      <c r="C274" s="71">
        <v>43441227</v>
      </c>
      <c r="D274" s="124">
        <v>58.4</v>
      </c>
      <c r="E274" s="5">
        <v>22.047999999999998</v>
      </c>
      <c r="F274" s="5">
        <v>23.625</v>
      </c>
      <c r="G274" s="5">
        <f>F274-E274</f>
        <v>1.5770000000000017</v>
      </c>
      <c r="H274" s="16">
        <f t="shared" si="34"/>
        <v>1.3559046000000015</v>
      </c>
      <c r="I274" s="19"/>
      <c r="J274" s="16"/>
      <c r="K274" s="19">
        <f t="shared" si="29"/>
        <v>1.3559046000000015</v>
      </c>
      <c r="M274" s="13" t="s">
        <v>69</v>
      </c>
    </row>
    <row r="275" spans="1:13" x14ac:dyDescent="0.25">
      <c r="A275" s="1">
        <v>231</v>
      </c>
      <c r="B275" s="33"/>
      <c r="C275" s="71">
        <v>43441216</v>
      </c>
      <c r="D275" s="124">
        <v>47</v>
      </c>
      <c r="E275" s="5">
        <v>13.318</v>
      </c>
      <c r="F275" s="5">
        <v>13.946</v>
      </c>
      <c r="G275" s="5"/>
      <c r="H275" s="16">
        <f t="shared" si="34"/>
        <v>0</v>
      </c>
      <c r="I275" s="16">
        <f t="shared" si="35"/>
        <v>1.2085714285714284</v>
      </c>
      <c r="J275" s="16">
        <f>D275/($E$32-$E$34)*$J$31</f>
        <v>-0.1733977574176721</v>
      </c>
      <c r="K275" s="19">
        <f t="shared" si="29"/>
        <v>1.0351736711537562</v>
      </c>
      <c r="M275" s="13" t="s">
        <v>71</v>
      </c>
    </row>
    <row r="276" spans="1:13" x14ac:dyDescent="0.25">
      <c r="A276" s="1">
        <v>232</v>
      </c>
      <c r="B276" s="47">
        <v>45738</v>
      </c>
      <c r="C276" s="10" t="s">
        <v>104</v>
      </c>
      <c r="D276" s="124">
        <v>78</v>
      </c>
      <c r="E276" s="39">
        <v>1.587</v>
      </c>
      <c r="F276" s="39">
        <v>2.1271</v>
      </c>
      <c r="G276" s="5"/>
      <c r="H276" s="16">
        <f>F276-E276</f>
        <v>0.54010000000000002</v>
      </c>
      <c r="I276" s="19"/>
      <c r="J276" s="16"/>
      <c r="K276" s="19">
        <f t="shared" si="29"/>
        <v>0.54010000000000002</v>
      </c>
      <c r="M276" s="13" t="s">
        <v>69</v>
      </c>
    </row>
    <row r="277" spans="1:13" x14ac:dyDescent="0.25">
      <c r="A277" s="1">
        <v>233</v>
      </c>
      <c r="B277" s="47">
        <v>45790</v>
      </c>
      <c r="C277" s="71">
        <v>43441226</v>
      </c>
      <c r="D277" s="124">
        <v>117.7</v>
      </c>
      <c r="E277" s="5">
        <v>15.243</v>
      </c>
      <c r="F277" s="5">
        <v>16.16</v>
      </c>
      <c r="G277" s="5">
        <f>F277-E277</f>
        <v>0.91699999999999982</v>
      </c>
      <c r="H277" s="16">
        <f>G277*0.8598</f>
        <v>0.78843659999999982</v>
      </c>
      <c r="I277" s="16"/>
      <c r="J277" s="16"/>
      <c r="K277" s="19">
        <f t="shared" si="29"/>
        <v>0.78843659999999982</v>
      </c>
      <c r="M277" s="13" t="s">
        <v>69</v>
      </c>
    </row>
    <row r="278" spans="1:13" x14ac:dyDescent="0.25">
      <c r="A278" s="1">
        <v>234</v>
      </c>
      <c r="B278" s="33"/>
      <c r="C278" s="71">
        <v>43441225</v>
      </c>
      <c r="D278" s="124">
        <v>57.8</v>
      </c>
      <c r="E278" s="5">
        <v>23.347000000000001</v>
      </c>
      <c r="F278" s="5">
        <v>23.977</v>
      </c>
      <c r="G278" s="5"/>
      <c r="H278" s="16">
        <f t="shared" si="34"/>
        <v>0</v>
      </c>
      <c r="I278" s="16">
        <f>((D278*0.015)*12)/7</f>
        <v>1.486285714285714</v>
      </c>
      <c r="J278" s="16">
        <f>D278/($E$32-$E$34)*$J$31</f>
        <v>-0.21324234848386056</v>
      </c>
      <c r="K278" s="19">
        <f t="shared" si="29"/>
        <v>1.2730433658018534</v>
      </c>
      <c r="M278" s="13" t="s">
        <v>71</v>
      </c>
    </row>
    <row r="279" spans="1:13" x14ac:dyDescent="0.25">
      <c r="A279" s="1">
        <v>235</v>
      </c>
      <c r="B279" s="47">
        <v>45748</v>
      </c>
      <c r="C279" s="71">
        <v>43441222</v>
      </c>
      <c r="D279" s="124">
        <v>58.3</v>
      </c>
      <c r="E279" s="5">
        <v>5.0339999999999998</v>
      </c>
      <c r="F279" s="5">
        <v>5.2140000000000004</v>
      </c>
      <c r="G279" s="5">
        <f>F279-E279</f>
        <v>0.1800000000000006</v>
      </c>
      <c r="H279" s="16">
        <f t="shared" si="34"/>
        <v>0.15476400000000051</v>
      </c>
      <c r="I279" s="16"/>
      <c r="J279" s="16"/>
      <c r="K279" s="19">
        <f t="shared" si="29"/>
        <v>0.15476400000000051</v>
      </c>
      <c r="M279" s="13" t="s">
        <v>69</v>
      </c>
    </row>
    <row r="280" spans="1:13" x14ac:dyDescent="0.25">
      <c r="A280" s="1">
        <v>236</v>
      </c>
      <c r="B280" s="33"/>
      <c r="C280" s="71">
        <v>43441223</v>
      </c>
      <c r="D280" s="124">
        <v>47</v>
      </c>
      <c r="E280" s="5">
        <v>28.978999999999999</v>
      </c>
      <c r="F280" s="5">
        <v>28.978999999999999</v>
      </c>
      <c r="G280" s="5"/>
      <c r="H280" s="16">
        <f t="shared" si="34"/>
        <v>0</v>
      </c>
      <c r="I280" s="16">
        <f>((D280*0.015)*12)/7</f>
        <v>1.2085714285714284</v>
      </c>
      <c r="J280" s="16">
        <f>D280/($E$32-$E$34)*$J$31</f>
        <v>-0.1733977574176721</v>
      </c>
      <c r="K280" s="19">
        <f t="shared" si="29"/>
        <v>1.0351736711537562</v>
      </c>
      <c r="M280" s="13" t="s">
        <v>71</v>
      </c>
    </row>
    <row r="281" spans="1:13" x14ac:dyDescent="0.25">
      <c r="A281" s="1">
        <v>237</v>
      </c>
      <c r="B281" s="47">
        <v>45703</v>
      </c>
      <c r="C281" s="71">
        <v>43441224</v>
      </c>
      <c r="D281" s="124">
        <v>77</v>
      </c>
      <c r="E281" s="5">
        <v>50.536000000000001</v>
      </c>
      <c r="F281" s="5">
        <v>51.817999999999998</v>
      </c>
      <c r="G281" s="5">
        <f>F281-E281</f>
        <v>1.2819999999999965</v>
      </c>
      <c r="H281" s="16">
        <f t="shared" si="34"/>
        <v>1.102263599999997</v>
      </c>
      <c r="I281" s="19"/>
      <c r="J281" s="16"/>
      <c r="K281" s="19">
        <f t="shared" si="29"/>
        <v>1.102263599999997</v>
      </c>
      <c r="M281" s="13" t="s">
        <v>69</v>
      </c>
    </row>
    <row r="282" spans="1:13" x14ac:dyDescent="0.25">
      <c r="A282" s="1">
        <v>238</v>
      </c>
      <c r="B282" s="33"/>
      <c r="C282" s="71" t="s">
        <v>115</v>
      </c>
      <c r="D282" s="124">
        <v>117.8</v>
      </c>
      <c r="E282" s="39">
        <v>1.9430000000000001</v>
      </c>
      <c r="F282" s="39">
        <v>2.7120000000000002</v>
      </c>
      <c r="G282" s="5"/>
      <c r="H282" s="16">
        <f>F282-E282</f>
        <v>0.76900000000000013</v>
      </c>
      <c r="I282" s="16"/>
      <c r="J282" s="16"/>
      <c r="K282" s="19">
        <f t="shared" si="29"/>
        <v>0.76900000000000013</v>
      </c>
      <c r="M282" s="13" t="s">
        <v>69</v>
      </c>
    </row>
    <row r="283" spans="1:13" x14ac:dyDescent="0.25">
      <c r="A283" s="1">
        <v>239</v>
      </c>
      <c r="B283" s="48">
        <v>45871</v>
      </c>
      <c r="C283" s="71">
        <v>43441220</v>
      </c>
      <c r="D283" s="124">
        <v>58.1</v>
      </c>
      <c r="E283" s="5">
        <v>34.835000000000001</v>
      </c>
      <c r="F283" s="5">
        <v>35.457999999999998</v>
      </c>
      <c r="G283" s="5">
        <f>F283-E283</f>
        <v>0.62299999999999756</v>
      </c>
      <c r="H283" s="16">
        <f>G283*0.8598</f>
        <v>0.53565539999999789</v>
      </c>
      <c r="I283" s="19"/>
      <c r="J283" s="16"/>
      <c r="K283" s="19">
        <f t="shared" si="29"/>
        <v>0.53565539999999789</v>
      </c>
      <c r="M283" s="13" t="s">
        <v>69</v>
      </c>
    </row>
    <row r="284" spans="1:13" x14ac:dyDescent="0.25">
      <c r="A284" s="1">
        <v>240</v>
      </c>
      <c r="B284" s="33"/>
      <c r="C284" s="71">
        <v>20242417</v>
      </c>
      <c r="D284" s="124">
        <v>58.7</v>
      </c>
      <c r="E284" s="5">
        <v>30.85</v>
      </c>
      <c r="F284" s="5">
        <v>31.724</v>
      </c>
      <c r="G284" s="5"/>
      <c r="H284" s="16">
        <f t="shared" si="34"/>
        <v>0</v>
      </c>
      <c r="I284" s="16">
        <f>((D284*0.015)*12)/7</f>
        <v>1.5094285714285716</v>
      </c>
      <c r="J284" s="16">
        <f t="shared" ref="J284:J287" si="38">D284/($E$32-$E$34)*$J$31</f>
        <v>-0.21656273107270962</v>
      </c>
      <c r="K284" s="19">
        <f t="shared" si="29"/>
        <v>1.2928658403558619</v>
      </c>
      <c r="M284" s="13" t="s">
        <v>71</v>
      </c>
    </row>
    <row r="285" spans="1:13" x14ac:dyDescent="0.25">
      <c r="A285" s="1">
        <v>241</v>
      </c>
      <c r="B285" s="33"/>
      <c r="C285" s="71">
        <v>20242445</v>
      </c>
      <c r="D285" s="124">
        <v>46.5</v>
      </c>
      <c r="E285" s="5">
        <v>23.056999999999999</v>
      </c>
      <c r="F285" s="5">
        <v>23.869</v>
      </c>
      <c r="G285" s="5"/>
      <c r="H285" s="16">
        <f t="shared" si="34"/>
        <v>0</v>
      </c>
      <c r="I285" s="16">
        <f>((D285*0.015)*12)/7</f>
        <v>1.195714285714286</v>
      </c>
      <c r="J285" s="16">
        <f t="shared" si="38"/>
        <v>-0.17155310042386707</v>
      </c>
      <c r="K285" s="19">
        <f t="shared" si="29"/>
        <v>1.0241611852904189</v>
      </c>
      <c r="M285" s="13" t="s">
        <v>71</v>
      </c>
    </row>
    <row r="286" spans="1:13" x14ac:dyDescent="0.25">
      <c r="A286" s="1">
        <v>242</v>
      </c>
      <c r="B286" s="33"/>
      <c r="C286" s="71">
        <v>43441219</v>
      </c>
      <c r="D286" s="124">
        <v>78.3</v>
      </c>
      <c r="E286" s="5">
        <v>62.030999999999999</v>
      </c>
      <c r="F286" s="5">
        <v>64.314999999999998</v>
      </c>
      <c r="G286" s="5"/>
      <c r="H286" s="16">
        <f t="shared" si="34"/>
        <v>0</v>
      </c>
      <c r="I286" s="16">
        <f>((D286*0.015)*12)/7</f>
        <v>2.0134285714285709</v>
      </c>
      <c r="J286" s="16">
        <f t="shared" si="38"/>
        <v>-0.28887328522986644</v>
      </c>
      <c r="K286" s="19">
        <f t="shared" si="29"/>
        <v>1.7245552861987044</v>
      </c>
      <c r="M286" s="13" t="s">
        <v>71</v>
      </c>
    </row>
    <row r="287" spans="1:13" x14ac:dyDescent="0.25">
      <c r="A287" s="1">
        <v>243</v>
      </c>
      <c r="B287" s="33"/>
      <c r="C287" s="71">
        <v>20242421</v>
      </c>
      <c r="D287" s="124">
        <v>117.2</v>
      </c>
      <c r="E287" s="5">
        <v>51.231999999999999</v>
      </c>
      <c r="F287" s="5">
        <v>53.945999999999998</v>
      </c>
      <c r="G287" s="5"/>
      <c r="H287" s="16">
        <f t="shared" si="34"/>
        <v>0</v>
      </c>
      <c r="I287" s="16">
        <f>((D287*0.015)*12)/7</f>
        <v>3.0137142857142858</v>
      </c>
      <c r="J287" s="16">
        <f t="shared" si="38"/>
        <v>-0.43238759934789722</v>
      </c>
      <c r="K287" s="19">
        <f t="shared" si="29"/>
        <v>2.5813266863663884</v>
      </c>
      <c r="M287" s="13" t="s">
        <v>71</v>
      </c>
    </row>
    <row r="288" spans="1:13" x14ac:dyDescent="0.25">
      <c r="A288" s="1">
        <v>244</v>
      </c>
      <c r="B288" s="47">
        <v>45803</v>
      </c>
      <c r="C288" s="71">
        <v>20242431</v>
      </c>
      <c r="D288" s="124">
        <v>57.8</v>
      </c>
      <c r="E288" s="5">
        <v>10.571</v>
      </c>
      <c r="F288" s="5">
        <v>11.468</v>
      </c>
      <c r="G288" s="5">
        <f>F288-E288</f>
        <v>0.89700000000000024</v>
      </c>
      <c r="H288" s="16">
        <f t="shared" si="34"/>
        <v>0.77124060000000016</v>
      </c>
      <c r="I288" s="19"/>
      <c r="J288" s="16"/>
      <c r="K288" s="19">
        <f t="shared" si="29"/>
        <v>0.77124060000000016</v>
      </c>
      <c r="M288" s="13" t="s">
        <v>69</v>
      </c>
    </row>
    <row r="289" spans="1:13" x14ac:dyDescent="0.25">
      <c r="A289" s="1">
        <v>245</v>
      </c>
      <c r="B289" s="47">
        <v>45887</v>
      </c>
      <c r="C289" s="71">
        <v>20242432</v>
      </c>
      <c r="D289" s="124">
        <v>58.2</v>
      </c>
      <c r="E289" s="5">
        <v>11.615</v>
      </c>
      <c r="F289" s="5">
        <v>11.919</v>
      </c>
      <c r="G289" s="5">
        <f>F289-E289</f>
        <v>0.30400000000000027</v>
      </c>
      <c r="H289" s="16">
        <f>G289*0.8598</f>
        <v>0.26137920000000026</v>
      </c>
      <c r="I289" s="19"/>
      <c r="J289" s="16"/>
      <c r="K289" s="19">
        <f t="shared" si="29"/>
        <v>0.26137920000000026</v>
      </c>
      <c r="M289" s="13" t="s">
        <v>69</v>
      </c>
    </row>
    <row r="290" spans="1:13" x14ac:dyDescent="0.25">
      <c r="A290" s="1">
        <v>246</v>
      </c>
      <c r="B290" s="33"/>
      <c r="C290" s="71">
        <v>20242451</v>
      </c>
      <c r="D290" s="124">
        <v>45.8</v>
      </c>
      <c r="E290" s="5">
        <v>22.591999999999999</v>
      </c>
      <c r="F290" s="5">
        <v>23.474</v>
      </c>
      <c r="G290" s="5"/>
      <c r="H290" s="16">
        <f>G290*0.8598</f>
        <v>0</v>
      </c>
      <c r="I290" s="16">
        <f>((D290*0.015)*12)/7</f>
        <v>1.1777142857142857</v>
      </c>
      <c r="J290" s="16">
        <f>D290/($E$32-$E$34)*$J$31</f>
        <v>-0.16897058063254003</v>
      </c>
      <c r="K290" s="19">
        <f t="shared" si="29"/>
        <v>1.0087437050817456</v>
      </c>
      <c r="M290" s="13" t="s">
        <v>71</v>
      </c>
    </row>
    <row r="291" spans="1:13" ht="15.75" thickBot="1" x14ac:dyDescent="0.3">
      <c r="A291" s="42">
        <v>247</v>
      </c>
      <c r="B291" s="47">
        <v>45887</v>
      </c>
      <c r="C291" s="72">
        <v>20242442</v>
      </c>
      <c r="D291" s="131">
        <v>77.599999999999994</v>
      </c>
      <c r="E291" s="27">
        <v>33.655999999999999</v>
      </c>
      <c r="F291" s="27">
        <v>34.095999999999997</v>
      </c>
      <c r="G291" s="5">
        <f>F291-E291</f>
        <v>0.43999999999999773</v>
      </c>
      <c r="H291" s="95">
        <f>G291*0.8598</f>
        <v>0.37831199999999804</v>
      </c>
      <c r="I291" s="96"/>
      <c r="J291" s="16"/>
      <c r="K291" s="19">
        <f t="shared" si="29"/>
        <v>0.37831199999999804</v>
      </c>
      <c r="M291" s="13" t="s">
        <v>69</v>
      </c>
    </row>
    <row r="292" spans="1:13" ht="15.75" thickBot="1" x14ac:dyDescent="0.3">
      <c r="A292" s="219" t="s">
        <v>81</v>
      </c>
      <c r="B292" s="220"/>
      <c r="C292" s="220"/>
      <c r="D292" s="92">
        <f>SUM(D227:D291)</f>
        <v>4660.1000000000022</v>
      </c>
      <c r="E292" s="221" t="s">
        <v>82</v>
      </c>
      <c r="F292" s="221"/>
      <c r="G292" s="221"/>
      <c r="H292" s="64">
        <f>SUM(H227:H291)</f>
        <v>23.225588199999997</v>
      </c>
      <c r="I292" s="64">
        <f>SUM(I227:I291)</f>
        <v>55.20600000000001</v>
      </c>
      <c r="J292" s="64">
        <f>SUM(J227:J291)</f>
        <v>-7.9205882000000036</v>
      </c>
      <c r="K292" s="93">
        <f>SUM(K227:K291)</f>
        <v>70.510999999999967</v>
      </c>
      <c r="M292" s="13"/>
    </row>
    <row r="293" spans="1:13" x14ac:dyDescent="0.25">
      <c r="A293" s="222" t="s">
        <v>3</v>
      </c>
      <c r="B293" s="222"/>
      <c r="C293" s="222"/>
      <c r="D293" s="97">
        <f>SUM(D116,D173,D226,D292)</f>
        <v>17590.400000000005</v>
      </c>
      <c r="E293" s="65">
        <f>SUM(E42:E291)</f>
        <v>6991.6304000000009</v>
      </c>
      <c r="F293" s="65">
        <f>SUM(F42:F291)</f>
        <v>7157.7814999999955</v>
      </c>
      <c r="G293" s="6">
        <f>F293-E293</f>
        <v>166.15109999999459</v>
      </c>
      <c r="H293" s="65">
        <f>SUM(H116,H173,H226,H292)</f>
        <v>100.27393750000002</v>
      </c>
      <c r="I293" s="65">
        <f>SUM(I116,I173,I226,I292)</f>
        <v>161.54485714285715</v>
      </c>
      <c r="J293" s="65">
        <f>SUM(J116,J173,J226,J292)</f>
        <v>7.2932053571428428</v>
      </c>
      <c r="K293" s="65">
        <f>SUM(K116,K173,K226,K292)</f>
        <v>269.11199999999997</v>
      </c>
      <c r="L293" s="20"/>
      <c r="M293" s="21"/>
    </row>
    <row r="294" spans="1:13" x14ac:dyDescent="0.25">
      <c r="H294" s="98"/>
      <c r="I294" s="98"/>
      <c r="L294" s="62"/>
      <c r="M294" s="12"/>
    </row>
    <row r="295" spans="1:13" x14ac:dyDescent="0.25">
      <c r="J295" s="2"/>
      <c r="K295" s="2"/>
      <c r="M295" s="62"/>
    </row>
    <row r="296" spans="1:13" ht="18.75" customHeight="1" x14ac:dyDescent="0.25">
      <c r="A296" s="207" t="s">
        <v>34</v>
      </c>
      <c r="B296" s="40" t="s">
        <v>61</v>
      </c>
      <c r="C296" s="209" t="s">
        <v>35</v>
      </c>
      <c r="D296" s="211" t="s">
        <v>2</v>
      </c>
      <c r="E296" s="17" t="s">
        <v>121</v>
      </c>
      <c r="F296" s="17" t="s">
        <v>125</v>
      </c>
      <c r="G296" s="99" t="s">
        <v>53</v>
      </c>
      <c r="H296" s="4"/>
      <c r="I296" s="4"/>
      <c r="J296" s="2"/>
      <c r="K296" s="2"/>
    </row>
    <row r="297" spans="1:13" ht="18.75" customHeight="1" x14ac:dyDescent="0.25">
      <c r="A297" s="208"/>
      <c r="B297" s="100" t="s">
        <v>62</v>
      </c>
      <c r="C297" s="210"/>
      <c r="D297" s="212"/>
      <c r="E297" s="25" t="s">
        <v>36</v>
      </c>
      <c r="F297" s="25" t="s">
        <v>36</v>
      </c>
      <c r="G297" s="32" t="s">
        <v>54</v>
      </c>
      <c r="J297" s="2"/>
      <c r="K297" s="2"/>
    </row>
    <row r="298" spans="1:13" x14ac:dyDescent="0.25">
      <c r="A298" s="101" t="s">
        <v>37</v>
      </c>
      <c r="B298" s="102">
        <v>43296</v>
      </c>
      <c r="C298" s="26">
        <v>43441481</v>
      </c>
      <c r="D298" s="26">
        <v>122.9</v>
      </c>
      <c r="E298" s="22">
        <v>59.591999999999999</v>
      </c>
      <c r="F298" s="22">
        <v>59.819000000000003</v>
      </c>
      <c r="G298" s="22">
        <f>(F298-E298)*0.8598</f>
        <v>0.19517460000000333</v>
      </c>
      <c r="J298" s="2"/>
      <c r="K298" s="2"/>
    </row>
    <row r="299" spans="1:13" x14ac:dyDescent="0.25">
      <c r="A299" s="101" t="s">
        <v>38</v>
      </c>
      <c r="B299" s="102">
        <v>43296</v>
      </c>
      <c r="C299" s="26">
        <v>43441178</v>
      </c>
      <c r="D299" s="26">
        <v>68.5</v>
      </c>
      <c r="E299" s="22">
        <v>102.407</v>
      </c>
      <c r="F299" s="22">
        <v>105.56</v>
      </c>
      <c r="G299" s="22">
        <f t="shared" ref="G299:G312" si="39">(F299-E299)*0.8598</f>
        <v>2.7109494000000049</v>
      </c>
      <c r="J299" s="2"/>
      <c r="K299" s="2"/>
    </row>
    <row r="300" spans="1:13" x14ac:dyDescent="0.25">
      <c r="A300" s="101" t="s">
        <v>39</v>
      </c>
      <c r="B300" s="102">
        <v>43296</v>
      </c>
      <c r="C300" s="26">
        <v>43441179</v>
      </c>
      <c r="D300" s="26">
        <v>106.9</v>
      </c>
      <c r="E300" s="22">
        <v>34.414000000000001</v>
      </c>
      <c r="F300" s="22">
        <v>35.212000000000003</v>
      </c>
      <c r="G300" s="22">
        <f t="shared" si="39"/>
        <v>0.68612040000000152</v>
      </c>
      <c r="J300" s="2"/>
      <c r="K300" s="2"/>
    </row>
    <row r="301" spans="1:13" x14ac:dyDescent="0.25">
      <c r="A301" s="101" t="s">
        <v>40</v>
      </c>
      <c r="B301" s="102">
        <v>43296</v>
      </c>
      <c r="C301" s="26">
        <v>43441177</v>
      </c>
      <c r="D301" s="26">
        <v>163.80000000000001</v>
      </c>
      <c r="E301" s="22">
        <v>174.3</v>
      </c>
      <c r="F301" s="22">
        <v>180.33600000000001</v>
      </c>
      <c r="G301" s="22">
        <f t="shared" si="39"/>
        <v>5.1897528000000008</v>
      </c>
      <c r="J301" s="2"/>
      <c r="K301" s="2"/>
    </row>
    <row r="302" spans="1:13" x14ac:dyDescent="0.25">
      <c r="A302" s="101" t="s">
        <v>41</v>
      </c>
      <c r="B302" s="102">
        <v>43296</v>
      </c>
      <c r="C302" s="26">
        <v>43441482</v>
      </c>
      <c r="D302" s="26">
        <v>109.8</v>
      </c>
      <c r="E302" s="22">
        <v>142.79499999999999</v>
      </c>
      <c r="F302" s="22">
        <v>145.77799999999999</v>
      </c>
      <c r="G302" s="22">
        <f t="shared" si="39"/>
        <v>2.5647834000000036</v>
      </c>
      <c r="K302" s="2"/>
    </row>
    <row r="303" spans="1:13" x14ac:dyDescent="0.25">
      <c r="A303" s="101" t="s">
        <v>42</v>
      </c>
      <c r="B303" s="102">
        <v>43296</v>
      </c>
      <c r="C303" s="26">
        <v>43441483</v>
      </c>
      <c r="D303" s="26">
        <v>58.7</v>
      </c>
      <c r="E303" s="22">
        <v>184.54499999999999</v>
      </c>
      <c r="F303" s="22">
        <v>188.16399999999999</v>
      </c>
      <c r="G303" s="22">
        <f t="shared" si="39"/>
        <v>3.1116161999999998</v>
      </c>
      <c r="J303" s="2"/>
      <c r="K303" s="2"/>
    </row>
    <row r="304" spans="1:13" x14ac:dyDescent="0.25">
      <c r="A304" s="101" t="s">
        <v>43</v>
      </c>
      <c r="B304" s="102">
        <v>43296</v>
      </c>
      <c r="C304" s="26">
        <v>41444210</v>
      </c>
      <c r="D304" s="26">
        <v>89.1</v>
      </c>
      <c r="E304" s="22">
        <v>159.125</v>
      </c>
      <c r="F304" s="22">
        <v>163.12299999999999</v>
      </c>
      <c r="G304" s="22">
        <f t="shared" si="39"/>
        <v>3.4374803999999917</v>
      </c>
      <c r="J304" s="2"/>
      <c r="K304" s="2"/>
    </row>
    <row r="305" spans="1:13" x14ac:dyDescent="0.25">
      <c r="A305" s="101" t="s">
        <v>44</v>
      </c>
      <c r="B305" s="102">
        <v>43296</v>
      </c>
      <c r="C305" s="26">
        <v>20242453</v>
      </c>
      <c r="D305" s="26">
        <v>56.5</v>
      </c>
      <c r="E305" s="22">
        <v>167.53</v>
      </c>
      <c r="F305" s="22">
        <v>171.96</v>
      </c>
      <c r="G305" s="22">
        <f t="shared" si="39"/>
        <v>3.8089140000000059</v>
      </c>
      <c r="J305" s="2"/>
      <c r="K305" s="2"/>
    </row>
    <row r="306" spans="1:13" x14ac:dyDescent="0.25">
      <c r="A306" s="101" t="s">
        <v>45</v>
      </c>
      <c r="B306" s="102">
        <v>43296</v>
      </c>
      <c r="C306" s="26">
        <v>20242426</v>
      </c>
      <c r="D306" s="26">
        <v>96</v>
      </c>
      <c r="E306" s="22">
        <v>124.85</v>
      </c>
      <c r="F306" s="22">
        <v>129.291</v>
      </c>
      <c r="G306" s="22">
        <f t="shared" si="39"/>
        <v>3.8183718000000022</v>
      </c>
      <c r="J306" s="2"/>
      <c r="K306" s="2"/>
    </row>
    <row r="307" spans="1:13" x14ac:dyDescent="0.25">
      <c r="A307" s="101" t="s">
        <v>46</v>
      </c>
      <c r="B307" s="102">
        <v>43296</v>
      </c>
      <c r="C307" s="26">
        <v>20242457</v>
      </c>
      <c r="D307" s="26">
        <v>103.3</v>
      </c>
      <c r="E307" s="22">
        <v>125.508</v>
      </c>
      <c r="F307" s="22">
        <v>128.971</v>
      </c>
      <c r="G307" s="22">
        <f t="shared" si="39"/>
        <v>2.9774874000000069</v>
      </c>
      <c r="J307" s="2"/>
      <c r="K307" s="2"/>
    </row>
    <row r="308" spans="1:13" x14ac:dyDescent="0.25">
      <c r="A308" s="101" t="s">
        <v>47</v>
      </c>
      <c r="B308" s="102">
        <v>43296</v>
      </c>
      <c r="C308" s="26">
        <v>20242455</v>
      </c>
      <c r="D308" s="26">
        <v>43.4</v>
      </c>
      <c r="E308" s="22">
        <v>101.33</v>
      </c>
      <c r="F308" s="22">
        <v>104.348</v>
      </c>
      <c r="G308" s="22">
        <f t="shared" si="39"/>
        <v>2.5948764000000004</v>
      </c>
      <c r="J308" s="2"/>
      <c r="K308" s="2"/>
    </row>
    <row r="309" spans="1:13" x14ac:dyDescent="0.25">
      <c r="A309" s="101" t="s">
        <v>48</v>
      </c>
      <c r="B309" s="102">
        <v>43296</v>
      </c>
      <c r="C309" s="26">
        <v>20442453</v>
      </c>
      <c r="D309" s="26">
        <v>79.900000000000006</v>
      </c>
      <c r="E309" s="22">
        <v>109.08799999999999</v>
      </c>
      <c r="F309" s="22">
        <v>111.678</v>
      </c>
      <c r="G309" s="22">
        <f t="shared" si="39"/>
        <v>2.2268820000000029</v>
      </c>
      <c r="J309" s="2"/>
      <c r="K309" s="2"/>
    </row>
    <row r="310" spans="1:13" x14ac:dyDescent="0.25">
      <c r="A310" s="101" t="s">
        <v>49</v>
      </c>
      <c r="B310" s="102">
        <v>43296</v>
      </c>
      <c r="C310" s="26">
        <v>20242456</v>
      </c>
      <c r="D310" s="26">
        <v>106.1</v>
      </c>
      <c r="E310" s="22">
        <v>49.536000000000001</v>
      </c>
      <c r="F310" s="22">
        <v>49.536000000000001</v>
      </c>
      <c r="G310" s="22">
        <f t="shared" si="39"/>
        <v>0</v>
      </c>
      <c r="J310" s="2"/>
      <c r="K310" s="2"/>
    </row>
    <row r="311" spans="1:13" x14ac:dyDescent="0.25">
      <c r="A311" s="101" t="s">
        <v>50</v>
      </c>
      <c r="B311" s="102">
        <v>43296</v>
      </c>
      <c r="C311" s="26">
        <v>20242415</v>
      </c>
      <c r="D311" s="26">
        <v>137.9</v>
      </c>
      <c r="E311" s="22">
        <v>190.029</v>
      </c>
      <c r="F311" s="22">
        <v>195.56100000000001</v>
      </c>
      <c r="G311" s="22">
        <f t="shared" si="39"/>
        <v>4.756413600000009</v>
      </c>
      <c r="J311" s="2"/>
      <c r="K311" s="2"/>
    </row>
    <row r="312" spans="1:13" x14ac:dyDescent="0.25">
      <c r="A312" s="101" t="s">
        <v>51</v>
      </c>
      <c r="B312" s="102">
        <v>43296</v>
      </c>
      <c r="C312" s="26">
        <v>20242418</v>
      </c>
      <c r="D312" s="26">
        <v>56.4</v>
      </c>
      <c r="E312" s="22">
        <v>200.44300000000001</v>
      </c>
      <c r="F312" s="22">
        <v>205.84399999999999</v>
      </c>
      <c r="G312" s="22">
        <f t="shared" si="39"/>
        <v>4.6437797999999848</v>
      </c>
      <c r="J312" s="2"/>
      <c r="K312" s="2"/>
    </row>
    <row r="313" spans="1:13" x14ac:dyDescent="0.25">
      <c r="C313" s="18"/>
      <c r="D313" s="26">
        <f>SUM(D298:D312)</f>
        <v>1399.2</v>
      </c>
      <c r="E313" s="23">
        <f>SUM(E298:E312)</f>
        <v>1925.492</v>
      </c>
      <c r="F313" s="23">
        <f>SUM(F298:F312)</f>
        <v>1975.1809999999998</v>
      </c>
      <c r="G313" s="23">
        <f>SUM(G298:G312)</f>
        <v>42.722602200000011</v>
      </c>
      <c r="J313" s="2"/>
      <c r="K313" s="2"/>
    </row>
    <row r="314" spans="1:13" x14ac:dyDescent="0.25">
      <c r="A314" s="103"/>
      <c r="B314" s="103"/>
      <c r="C314" s="103"/>
      <c r="D314" s="103"/>
      <c r="E314" s="103"/>
      <c r="F314" s="103"/>
      <c r="G314" s="103"/>
      <c r="J314" s="2"/>
      <c r="K314" s="2"/>
      <c r="M314" s="62"/>
    </row>
    <row r="315" spans="1:13" x14ac:dyDescent="0.25">
      <c r="A315" s="104" t="s">
        <v>14</v>
      </c>
      <c r="G315" s="103"/>
      <c r="J315" s="2"/>
      <c r="K315" s="2"/>
      <c r="M315" s="62"/>
    </row>
    <row r="316" spans="1:13" x14ac:dyDescent="0.25">
      <c r="A316" s="103"/>
      <c r="F316" s="103"/>
      <c r="J316" s="2"/>
      <c r="K316" s="2"/>
      <c r="L316" s="62"/>
      <c r="M316" s="62"/>
    </row>
    <row r="317" spans="1:13" x14ac:dyDescent="0.25">
      <c r="J317" s="2"/>
      <c r="K317" s="2"/>
      <c r="L317" s="62"/>
      <c r="M317" s="62"/>
    </row>
  </sheetData>
  <mergeCells count="80">
    <mergeCell ref="A1:M1"/>
    <mergeCell ref="A3:M3"/>
    <mergeCell ref="A4:M4"/>
    <mergeCell ref="A6:J6"/>
    <mergeCell ref="M6:M10"/>
    <mergeCell ref="A7:E7"/>
    <mergeCell ref="F7:H7"/>
    <mergeCell ref="A8:E8"/>
    <mergeCell ref="F8:H8"/>
    <mergeCell ref="A9:A14"/>
    <mergeCell ref="B9:E10"/>
    <mergeCell ref="F9:H9"/>
    <mergeCell ref="F10:H10"/>
    <mergeCell ref="B11:D11"/>
    <mergeCell ref="F11:J11"/>
    <mergeCell ref="B19:D19"/>
    <mergeCell ref="F19:H19"/>
    <mergeCell ref="B20:D20"/>
    <mergeCell ref="F20:H20"/>
    <mergeCell ref="B13:D13"/>
    <mergeCell ref="F13:H13"/>
    <mergeCell ref="B14:D14"/>
    <mergeCell ref="F14:H14"/>
    <mergeCell ref="A15:E15"/>
    <mergeCell ref="F15:H15"/>
    <mergeCell ref="B12:D12"/>
    <mergeCell ref="F12:H12"/>
    <mergeCell ref="B21:D21"/>
    <mergeCell ref="F21:H21"/>
    <mergeCell ref="A22:E22"/>
    <mergeCell ref="F22:H22"/>
    <mergeCell ref="A23:A28"/>
    <mergeCell ref="B23:E24"/>
    <mergeCell ref="F23:H23"/>
    <mergeCell ref="F24:H24"/>
    <mergeCell ref="B25:D25"/>
    <mergeCell ref="F25:J25"/>
    <mergeCell ref="A16:A21"/>
    <mergeCell ref="B16:E17"/>
    <mergeCell ref="F16:H16"/>
    <mergeCell ref="F17:H17"/>
    <mergeCell ref="B18:D18"/>
    <mergeCell ref="F18:J18"/>
    <mergeCell ref="B26:D26"/>
    <mergeCell ref="F26:H26"/>
    <mergeCell ref="B27:D27"/>
    <mergeCell ref="F27:H27"/>
    <mergeCell ref="B28:D28"/>
    <mergeCell ref="F28:H28"/>
    <mergeCell ref="J36:J37"/>
    <mergeCell ref="F37:H37"/>
    <mergeCell ref="A29:E29"/>
    <mergeCell ref="F29:H29"/>
    <mergeCell ref="A30:A35"/>
    <mergeCell ref="B30:E31"/>
    <mergeCell ref="F30:H30"/>
    <mergeCell ref="F31:H31"/>
    <mergeCell ref="B32:D32"/>
    <mergeCell ref="F32:J32"/>
    <mergeCell ref="B33:D33"/>
    <mergeCell ref="F33:H33"/>
    <mergeCell ref="B34:D34"/>
    <mergeCell ref="F34:H34"/>
    <mergeCell ref="B35:D35"/>
    <mergeCell ref="F35:H35"/>
    <mergeCell ref="F36:H36"/>
    <mergeCell ref="A296:A297"/>
    <mergeCell ref="C296:C297"/>
    <mergeCell ref="D296:D297"/>
    <mergeCell ref="F38:H38"/>
    <mergeCell ref="F39:H39"/>
    <mergeCell ref="A116:C116"/>
    <mergeCell ref="E116:G116"/>
    <mergeCell ref="A173:C173"/>
    <mergeCell ref="E173:G173"/>
    <mergeCell ref="A226:C226"/>
    <mergeCell ref="E226:G226"/>
    <mergeCell ref="A292:C292"/>
    <mergeCell ref="E292:G292"/>
    <mergeCell ref="A293:C293"/>
  </mergeCells>
  <pageMargins left="0.78740157480314965" right="0" top="0" bottom="0" header="0.31496062992125984" footer="0.31496062992125984"/>
  <pageSetup paperSize="9" scale="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30" zoomScaleNormal="100" workbookViewId="0">
      <selection activeCell="N210" sqref="N210:N214"/>
    </sheetView>
  </sheetViews>
  <sheetFormatPr defaultRowHeight="15" x14ac:dyDescent="0.25"/>
  <cols>
    <col min="1" max="1" width="6.42578125" style="2" customWidth="1"/>
    <col min="2" max="2" width="16" style="2" customWidth="1"/>
    <col min="3" max="3" width="15" style="2" customWidth="1"/>
    <col min="4" max="4" width="9.5703125" style="2" customWidth="1"/>
    <col min="5" max="5" width="10.5703125" style="2" customWidth="1"/>
    <col min="6" max="8" width="10.28515625" style="2" customWidth="1"/>
    <col min="9" max="9" width="12.28515625" style="2" customWidth="1"/>
    <col min="10" max="10" width="11.28515625" style="62" customWidth="1"/>
    <col min="11" max="11" width="9.42578125" style="62" customWidth="1"/>
    <col min="12" max="12" width="2.140625" style="2" customWidth="1"/>
    <col min="13" max="13" width="26" style="2" customWidth="1"/>
    <col min="14" max="14" width="9.5703125" style="2" bestFit="1" customWidth="1"/>
    <col min="15" max="16384" width="9.140625" style="2"/>
  </cols>
  <sheetData>
    <row r="1" spans="1:13" ht="20.25" x14ac:dyDescent="0.3">
      <c r="A1" s="255" t="s">
        <v>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4.45" customHeight="1" x14ac:dyDescent="0.3">
      <c r="A2" s="138"/>
      <c r="B2" s="138"/>
      <c r="C2" s="138"/>
      <c r="D2" s="138"/>
      <c r="E2" s="138"/>
      <c r="F2" s="138"/>
      <c r="G2" s="138"/>
      <c r="H2" s="138"/>
      <c r="I2" s="138"/>
      <c r="J2" s="60"/>
      <c r="K2" s="60"/>
      <c r="L2" s="138"/>
      <c r="M2" s="138"/>
    </row>
    <row r="3" spans="1:13" ht="18.75" x14ac:dyDescent="0.25">
      <c r="A3" s="256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8.75" x14ac:dyDescent="0.25">
      <c r="A4" s="256" t="s">
        <v>126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ht="17.4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 ht="16.149999999999999" customHeight="1" x14ac:dyDescent="0.25">
      <c r="A6" s="237" t="s">
        <v>8</v>
      </c>
      <c r="B6" s="238"/>
      <c r="C6" s="238"/>
      <c r="D6" s="238"/>
      <c r="E6" s="238"/>
      <c r="F6" s="238"/>
      <c r="G6" s="238"/>
      <c r="H6" s="238"/>
      <c r="I6" s="238"/>
      <c r="J6" s="239"/>
      <c r="K6" s="147"/>
      <c r="L6" s="75" t="s">
        <v>10</v>
      </c>
      <c r="M6" s="211" t="s">
        <v>11</v>
      </c>
    </row>
    <row r="7" spans="1:13" ht="37.9" customHeight="1" thickBot="1" x14ac:dyDescent="0.3">
      <c r="A7" s="258" t="s">
        <v>4</v>
      </c>
      <c r="B7" s="258"/>
      <c r="C7" s="258"/>
      <c r="D7" s="258"/>
      <c r="E7" s="258"/>
      <c r="F7" s="244" t="s">
        <v>5</v>
      </c>
      <c r="G7" s="245"/>
      <c r="H7" s="245"/>
      <c r="I7" s="54"/>
      <c r="J7" s="140" t="s">
        <v>127</v>
      </c>
      <c r="K7" s="106"/>
      <c r="L7" s="75"/>
      <c r="M7" s="257"/>
    </row>
    <row r="8" spans="1:13" ht="27" customHeight="1" thickBot="1" x14ac:dyDescent="0.3">
      <c r="A8" s="259" t="s">
        <v>29</v>
      </c>
      <c r="B8" s="260"/>
      <c r="C8" s="261"/>
      <c r="D8" s="261"/>
      <c r="E8" s="261"/>
      <c r="F8" s="262" t="s">
        <v>63</v>
      </c>
      <c r="G8" s="263"/>
      <c r="H8" s="264"/>
      <c r="I8" s="143"/>
      <c r="J8" s="50">
        <v>75.394000000000005</v>
      </c>
      <c r="K8" s="76"/>
      <c r="L8" s="75"/>
      <c r="M8" s="257"/>
    </row>
    <row r="9" spans="1:13" ht="13.9" customHeight="1" x14ac:dyDescent="0.25">
      <c r="A9" s="247"/>
      <c r="B9" s="262" t="s">
        <v>64</v>
      </c>
      <c r="C9" s="263"/>
      <c r="D9" s="263"/>
      <c r="E9" s="264"/>
      <c r="F9" s="268" t="s">
        <v>16</v>
      </c>
      <c r="G9" s="269"/>
      <c r="H9" s="270"/>
      <c r="I9" s="145"/>
      <c r="J9" s="43">
        <f>J13+J12+J14</f>
        <v>74.257330428571436</v>
      </c>
      <c r="K9" s="77"/>
      <c r="L9" s="75"/>
      <c r="M9" s="257"/>
    </row>
    <row r="10" spans="1:13" ht="13.9" customHeight="1" x14ac:dyDescent="0.25">
      <c r="A10" s="229"/>
      <c r="B10" s="265"/>
      <c r="C10" s="266"/>
      <c r="D10" s="266"/>
      <c r="E10" s="267"/>
      <c r="F10" s="237" t="s">
        <v>18</v>
      </c>
      <c r="G10" s="238"/>
      <c r="H10" s="239"/>
      <c r="I10" s="137"/>
      <c r="J10" s="31">
        <f>J8-J13-J12-J14</f>
        <v>1.1366695714285626</v>
      </c>
      <c r="K10" s="77"/>
      <c r="L10" s="75"/>
      <c r="M10" s="212"/>
    </row>
    <row r="11" spans="1:13" ht="13.9" customHeight="1" x14ac:dyDescent="0.25">
      <c r="A11" s="229"/>
      <c r="B11" s="240" t="s">
        <v>65</v>
      </c>
      <c r="C11" s="241"/>
      <c r="D11" s="241"/>
      <c r="E11" s="55">
        <f>D116</f>
        <v>5338.7000000000025</v>
      </c>
      <c r="F11" s="234"/>
      <c r="G11" s="235"/>
      <c r="H11" s="235"/>
      <c r="I11" s="235"/>
      <c r="J11" s="236"/>
      <c r="K11" s="77"/>
      <c r="L11" s="75"/>
      <c r="M11" s="41"/>
    </row>
    <row r="12" spans="1:13" ht="25.5" customHeight="1" x14ac:dyDescent="0.25">
      <c r="A12" s="229"/>
      <c r="B12" s="240" t="s">
        <v>67</v>
      </c>
      <c r="C12" s="241"/>
      <c r="D12" s="271"/>
      <c r="E12" s="56">
        <f>SUM(D42,D45,D49:D50,D52,D54:D56,D62,D65,D69,D72,D75:D77,D80,D86,D92:D93,D96,D98:D99,D105:D106,D111:D115)</f>
        <v>2060.9</v>
      </c>
      <c r="F12" s="237" t="s">
        <v>83</v>
      </c>
      <c r="G12" s="238"/>
      <c r="H12" s="239"/>
      <c r="I12" s="146"/>
      <c r="J12" s="7">
        <f>I116</f>
        <v>52.994571428571426</v>
      </c>
      <c r="K12" s="77"/>
      <c r="L12" s="75"/>
      <c r="M12" s="44"/>
    </row>
    <row r="13" spans="1:13" ht="25.5" customHeight="1" x14ac:dyDescent="0.25">
      <c r="A13" s="229"/>
      <c r="B13" s="240" t="s">
        <v>84</v>
      </c>
      <c r="C13" s="241"/>
      <c r="D13" s="241"/>
      <c r="E13" s="56">
        <f>SUM(D43:D44,D46:D48,D51,D53,D57:D61,D63:D64,D66:D68,D70:D71,D73:D74,D78:D79,D81:D85,D87:D88,D89:D91,D94:D95,D97,D100:D104,D107:D110)</f>
        <v>3277.8</v>
      </c>
      <c r="F13" s="237" t="s">
        <v>66</v>
      </c>
      <c r="G13" s="238"/>
      <c r="H13" s="239"/>
      <c r="I13" s="137"/>
      <c r="J13" s="7">
        <f>H116</f>
        <v>21.262759000000013</v>
      </c>
      <c r="K13" s="77"/>
      <c r="L13" s="75"/>
      <c r="M13" s="41"/>
    </row>
    <row r="14" spans="1:13" ht="25.5" customHeight="1" thickBot="1" x14ac:dyDescent="0.3">
      <c r="A14" s="230"/>
      <c r="B14" s="242" t="s">
        <v>85</v>
      </c>
      <c r="C14" s="243"/>
      <c r="D14" s="243"/>
      <c r="E14" s="57">
        <v>0</v>
      </c>
      <c r="F14" s="244" t="s">
        <v>86</v>
      </c>
      <c r="G14" s="245"/>
      <c r="H14" s="246"/>
      <c r="I14" s="142"/>
      <c r="J14" s="46">
        <v>0</v>
      </c>
      <c r="K14" s="77"/>
      <c r="L14" s="75"/>
      <c r="M14" s="41"/>
    </row>
    <row r="15" spans="1:13" ht="27.75" customHeight="1" thickBot="1" x14ac:dyDescent="0.3">
      <c r="A15" s="249" t="s">
        <v>90</v>
      </c>
      <c r="B15" s="250"/>
      <c r="C15" s="251"/>
      <c r="D15" s="251"/>
      <c r="E15" s="251"/>
      <c r="F15" s="252" t="s">
        <v>68</v>
      </c>
      <c r="G15" s="253"/>
      <c r="H15" s="254"/>
      <c r="I15" s="147"/>
      <c r="J15" s="150">
        <v>57.11</v>
      </c>
      <c r="K15" s="78"/>
      <c r="L15" s="75"/>
      <c r="M15" s="14"/>
    </row>
    <row r="16" spans="1:13" ht="13.9" customHeight="1" x14ac:dyDescent="0.25">
      <c r="A16" s="247"/>
      <c r="B16" s="248" t="s">
        <v>64</v>
      </c>
      <c r="C16" s="248"/>
      <c r="D16" s="248"/>
      <c r="E16" s="248"/>
      <c r="F16" s="248" t="s">
        <v>17</v>
      </c>
      <c r="G16" s="248"/>
      <c r="H16" s="248"/>
      <c r="I16" s="149"/>
      <c r="J16" s="43">
        <f>J20+J19+J21</f>
        <v>42.230901342857145</v>
      </c>
      <c r="K16" s="77"/>
      <c r="L16" s="75"/>
      <c r="M16" s="14" t="s">
        <v>52</v>
      </c>
    </row>
    <row r="17" spans="1:13" ht="13.9" customHeight="1" x14ac:dyDescent="0.25">
      <c r="A17" s="229"/>
      <c r="B17" s="232"/>
      <c r="C17" s="232"/>
      <c r="D17" s="232"/>
      <c r="E17" s="232"/>
      <c r="F17" s="232" t="s">
        <v>19</v>
      </c>
      <c r="G17" s="232"/>
      <c r="H17" s="232"/>
      <c r="I17" s="146"/>
      <c r="J17" s="31">
        <f>J15-J20-J19-J21</f>
        <v>14.879098657142855</v>
      </c>
      <c r="K17" s="77"/>
      <c r="L17" s="75"/>
      <c r="M17" s="14" t="s">
        <v>32</v>
      </c>
    </row>
    <row r="18" spans="1:13" ht="13.9" customHeight="1" x14ac:dyDescent="0.25">
      <c r="A18" s="229"/>
      <c r="B18" s="233" t="s">
        <v>65</v>
      </c>
      <c r="C18" s="233"/>
      <c r="D18" s="233"/>
      <c r="E18" s="55">
        <f>D173</f>
        <v>3918.9999999999991</v>
      </c>
      <c r="F18" s="234"/>
      <c r="G18" s="235"/>
      <c r="H18" s="235"/>
      <c r="I18" s="235"/>
      <c r="J18" s="236"/>
      <c r="K18" s="77"/>
      <c r="L18" s="75"/>
      <c r="M18" s="14"/>
    </row>
    <row r="19" spans="1:13" ht="29.25" customHeight="1" x14ac:dyDescent="0.25">
      <c r="A19" s="229"/>
      <c r="B19" s="233" t="s">
        <v>67</v>
      </c>
      <c r="C19" s="233"/>
      <c r="D19" s="233"/>
      <c r="E19" s="56">
        <f>SUM(D117,D122:D123,D126:D127,D129,D132,D137,D139,D147,D149,D158,D163:D164,D169:D170)</f>
        <v>1110.7000000000003</v>
      </c>
      <c r="F19" s="237" t="s">
        <v>83</v>
      </c>
      <c r="G19" s="238"/>
      <c r="H19" s="239"/>
      <c r="I19" s="146"/>
      <c r="J19" s="7">
        <f>I173</f>
        <v>28.560857142857145</v>
      </c>
      <c r="K19" s="77"/>
      <c r="L19" s="75"/>
      <c r="M19" s="14"/>
    </row>
    <row r="20" spans="1:13" ht="29.25" customHeight="1" x14ac:dyDescent="0.25">
      <c r="A20" s="229"/>
      <c r="B20" s="240" t="s">
        <v>84</v>
      </c>
      <c r="C20" s="241"/>
      <c r="D20" s="241"/>
      <c r="E20" s="56">
        <f>SUM(D118:D121,D124:D125,D128,D130:D131,D133:D136,D138,D140:D146,D148,D150:D157,D159:D162,D165:D168,D171:D172)</f>
        <v>2808.2999999999993</v>
      </c>
      <c r="F20" s="232" t="s">
        <v>66</v>
      </c>
      <c r="G20" s="232"/>
      <c r="H20" s="232"/>
      <c r="I20" s="146"/>
      <c r="J20" s="7">
        <f>H173</f>
        <v>13.670044199999998</v>
      </c>
      <c r="K20" s="77"/>
      <c r="L20" s="75"/>
      <c r="M20" s="14"/>
    </row>
    <row r="21" spans="1:13" ht="29.25" customHeight="1" thickBot="1" x14ac:dyDescent="0.3">
      <c r="A21" s="230"/>
      <c r="B21" s="242" t="s">
        <v>85</v>
      </c>
      <c r="C21" s="243"/>
      <c r="D21" s="243"/>
      <c r="E21" s="57">
        <v>0</v>
      </c>
      <c r="F21" s="244" t="s">
        <v>86</v>
      </c>
      <c r="G21" s="245"/>
      <c r="H21" s="246"/>
      <c r="I21" s="142"/>
      <c r="J21" s="46">
        <v>0</v>
      </c>
      <c r="K21" s="77"/>
      <c r="L21" s="75"/>
      <c r="M21" s="14"/>
    </row>
    <row r="22" spans="1:13" ht="24.75" customHeight="1" thickBot="1" x14ac:dyDescent="0.3">
      <c r="A22" s="226" t="s">
        <v>30</v>
      </c>
      <c r="B22" s="227"/>
      <c r="C22" s="227"/>
      <c r="D22" s="227"/>
      <c r="E22" s="227"/>
      <c r="F22" s="228" t="s">
        <v>20</v>
      </c>
      <c r="G22" s="228"/>
      <c r="H22" s="228"/>
      <c r="I22" s="148"/>
      <c r="J22" s="51">
        <v>57.551000000000002</v>
      </c>
      <c r="K22" s="78"/>
      <c r="L22" s="75"/>
      <c r="M22" s="11"/>
    </row>
    <row r="23" spans="1:13" ht="13.9" customHeight="1" x14ac:dyDescent="0.25">
      <c r="A23" s="247"/>
      <c r="B23" s="248" t="s">
        <v>64</v>
      </c>
      <c r="C23" s="248"/>
      <c r="D23" s="248"/>
      <c r="E23" s="248"/>
      <c r="F23" s="248" t="s">
        <v>21</v>
      </c>
      <c r="G23" s="248"/>
      <c r="H23" s="248"/>
      <c r="I23" s="149"/>
      <c r="J23" s="43">
        <f>J27+J26+J28</f>
        <v>45.244987971428564</v>
      </c>
      <c r="K23" s="77"/>
      <c r="L23" s="75"/>
      <c r="M23" s="3"/>
    </row>
    <row r="24" spans="1:13" ht="13.9" customHeight="1" x14ac:dyDescent="0.25">
      <c r="A24" s="229"/>
      <c r="B24" s="232"/>
      <c r="C24" s="232"/>
      <c r="D24" s="232"/>
      <c r="E24" s="232"/>
      <c r="F24" s="232" t="s">
        <v>22</v>
      </c>
      <c r="G24" s="232"/>
      <c r="H24" s="232"/>
      <c r="I24" s="146"/>
      <c r="J24" s="31">
        <f>J22-J27-J26-J28</f>
        <v>12.306012028571434</v>
      </c>
      <c r="K24" s="77"/>
      <c r="L24" s="75"/>
      <c r="M24" s="3"/>
    </row>
    <row r="25" spans="1:13" ht="13.9" customHeight="1" x14ac:dyDescent="0.25">
      <c r="A25" s="229"/>
      <c r="B25" s="233" t="s">
        <v>65</v>
      </c>
      <c r="C25" s="233"/>
      <c r="D25" s="233"/>
      <c r="E25" s="55">
        <f>D226</f>
        <v>3672.6000000000013</v>
      </c>
      <c r="F25" s="234"/>
      <c r="G25" s="235"/>
      <c r="H25" s="235"/>
      <c r="I25" s="235"/>
      <c r="J25" s="236"/>
      <c r="K25" s="77"/>
      <c r="L25" s="75"/>
      <c r="M25" s="3"/>
    </row>
    <row r="26" spans="1:13" ht="27.75" customHeight="1" x14ac:dyDescent="0.25">
      <c r="A26" s="229"/>
      <c r="B26" s="233" t="s">
        <v>67</v>
      </c>
      <c r="C26" s="233"/>
      <c r="D26" s="233"/>
      <c r="E26" s="56">
        <f>SUM(D179,D184,D187,D192,D198,D201,D205,D210:D211,D216,D221,D223:D225)</f>
        <v>963.79999999999984</v>
      </c>
      <c r="F26" s="237" t="s">
        <v>83</v>
      </c>
      <c r="G26" s="238"/>
      <c r="H26" s="239"/>
      <c r="I26" s="146"/>
      <c r="J26" s="7">
        <f>I226</f>
        <v>24.783428571428569</v>
      </c>
      <c r="K26" s="77"/>
      <c r="L26" s="75"/>
      <c r="M26" s="3"/>
    </row>
    <row r="27" spans="1:13" ht="27.75" customHeight="1" x14ac:dyDescent="0.25">
      <c r="A27" s="229"/>
      <c r="B27" s="240" t="s">
        <v>84</v>
      </c>
      <c r="C27" s="241"/>
      <c r="D27" s="241"/>
      <c r="E27" s="56">
        <f>SUM(D174:D178,D180:D183,D185:D186,D188:D191,D193:D197,D199:D200,D202:D204,D206:D209,D212:D215,D217:D220,D222)</f>
        <v>2708.8</v>
      </c>
      <c r="F27" s="232" t="s">
        <v>66</v>
      </c>
      <c r="G27" s="232"/>
      <c r="H27" s="232"/>
      <c r="I27" s="146"/>
      <c r="J27" s="7">
        <f>H226</f>
        <v>20.461559399999995</v>
      </c>
      <c r="K27" s="77"/>
      <c r="L27" s="75"/>
      <c r="M27" s="3"/>
    </row>
    <row r="28" spans="1:13" ht="27.75" customHeight="1" thickBot="1" x14ac:dyDescent="0.3">
      <c r="A28" s="230"/>
      <c r="B28" s="242" t="s">
        <v>85</v>
      </c>
      <c r="C28" s="243"/>
      <c r="D28" s="243"/>
      <c r="E28" s="57">
        <v>0</v>
      </c>
      <c r="F28" s="244" t="s">
        <v>86</v>
      </c>
      <c r="G28" s="245"/>
      <c r="H28" s="246"/>
      <c r="I28" s="142"/>
      <c r="J28" s="46">
        <v>0</v>
      </c>
      <c r="K28" s="77"/>
      <c r="L28" s="75"/>
      <c r="M28" s="3"/>
    </row>
    <row r="29" spans="1:13" ht="25.5" customHeight="1" thickBot="1" x14ac:dyDescent="0.3">
      <c r="A29" s="226" t="s">
        <v>31</v>
      </c>
      <c r="B29" s="227"/>
      <c r="C29" s="227"/>
      <c r="D29" s="227"/>
      <c r="E29" s="227"/>
      <c r="F29" s="228" t="s">
        <v>23</v>
      </c>
      <c r="G29" s="228"/>
      <c r="H29" s="228"/>
      <c r="I29" s="148"/>
      <c r="J29" s="51">
        <v>66.215000000000003</v>
      </c>
      <c r="K29" s="78"/>
      <c r="L29" s="75"/>
      <c r="M29" s="3"/>
    </row>
    <row r="30" spans="1:13" ht="13.9" customHeight="1" x14ac:dyDescent="0.25">
      <c r="A30" s="229"/>
      <c r="B30" s="231" t="s">
        <v>64</v>
      </c>
      <c r="C30" s="231"/>
      <c r="D30" s="231"/>
      <c r="E30" s="231"/>
      <c r="F30" s="231" t="s">
        <v>24</v>
      </c>
      <c r="G30" s="231"/>
      <c r="H30" s="231"/>
      <c r="I30" s="151"/>
      <c r="J30" s="45">
        <f>J34+J33+J35</f>
        <v>75.261111200000016</v>
      </c>
      <c r="K30" s="77"/>
      <c r="L30" s="75"/>
      <c r="M30" s="3"/>
    </row>
    <row r="31" spans="1:13" ht="13.9" customHeight="1" x14ac:dyDescent="0.25">
      <c r="A31" s="229"/>
      <c r="B31" s="232"/>
      <c r="C31" s="232"/>
      <c r="D31" s="232"/>
      <c r="E31" s="232"/>
      <c r="F31" s="232" t="s">
        <v>25</v>
      </c>
      <c r="G31" s="232"/>
      <c r="H31" s="232"/>
      <c r="I31" s="146"/>
      <c r="J31" s="31">
        <f>J29-J34-J33-J35</f>
        <v>-9.0461112000000199</v>
      </c>
      <c r="K31" s="77"/>
      <c r="L31" s="75"/>
      <c r="M31" s="3"/>
    </row>
    <row r="32" spans="1:13" ht="13.9" customHeight="1" x14ac:dyDescent="0.25">
      <c r="A32" s="229"/>
      <c r="B32" s="233" t="s">
        <v>65</v>
      </c>
      <c r="C32" s="233"/>
      <c r="D32" s="233"/>
      <c r="E32" s="55">
        <f>D292</f>
        <v>4660.1000000000022</v>
      </c>
      <c r="F32" s="234"/>
      <c r="G32" s="235"/>
      <c r="H32" s="235"/>
      <c r="I32" s="235"/>
      <c r="J32" s="236"/>
      <c r="K32" s="77"/>
      <c r="L32" s="75"/>
      <c r="M32" s="3"/>
    </row>
    <row r="33" spans="1:13" ht="26.25" customHeight="1" x14ac:dyDescent="0.25">
      <c r="A33" s="229"/>
      <c r="B33" s="233" t="s">
        <v>67</v>
      </c>
      <c r="C33" s="233"/>
      <c r="D33" s="233"/>
      <c r="E33" s="56">
        <f>SUM(D227:D230,D232,D238,D243,D247:D251,D253:D256,D258:D259,D261,D263,D269:D270,D272:D273,D275,D278,D280,D284:D287,D290)</f>
        <v>2146.8999999999996</v>
      </c>
      <c r="F33" s="237" t="s">
        <v>83</v>
      </c>
      <c r="G33" s="238"/>
      <c r="H33" s="239"/>
      <c r="I33" s="146"/>
      <c r="J33" s="7">
        <f>I292</f>
        <v>55.20600000000001</v>
      </c>
      <c r="K33" s="77"/>
      <c r="L33" s="75"/>
      <c r="M33" s="3"/>
    </row>
    <row r="34" spans="1:13" ht="26.25" customHeight="1" x14ac:dyDescent="0.25">
      <c r="A34" s="229"/>
      <c r="B34" s="240" t="s">
        <v>84</v>
      </c>
      <c r="C34" s="241"/>
      <c r="D34" s="241"/>
      <c r="E34" s="56">
        <f>SUM(D231,D233:D237,D239:D241,D242,D244:D246,D252,D257,D260,D262,D264:D268,D271,D274,D276:D277,D279,D281:D282,D283,D288:D289,D291)</f>
        <v>2513.2000000000003</v>
      </c>
      <c r="F34" s="232" t="s">
        <v>66</v>
      </c>
      <c r="G34" s="232"/>
      <c r="H34" s="232"/>
      <c r="I34" s="146"/>
      <c r="J34" s="7">
        <f>H292</f>
        <v>20.05511120000001</v>
      </c>
      <c r="K34" s="77"/>
      <c r="L34" s="75"/>
      <c r="M34" s="3"/>
    </row>
    <row r="35" spans="1:13" ht="26.25" customHeight="1" thickBot="1" x14ac:dyDescent="0.3">
      <c r="A35" s="230"/>
      <c r="B35" s="242" t="s">
        <v>85</v>
      </c>
      <c r="C35" s="243"/>
      <c r="D35" s="243"/>
      <c r="E35" s="57">
        <v>0</v>
      </c>
      <c r="F35" s="244" t="s">
        <v>86</v>
      </c>
      <c r="G35" s="245"/>
      <c r="H35" s="246"/>
      <c r="I35" s="142"/>
      <c r="J35" s="46">
        <v>0</v>
      </c>
      <c r="K35" s="77"/>
      <c r="L35" s="75"/>
      <c r="M35" s="3"/>
    </row>
    <row r="36" spans="1:13" ht="13.9" customHeight="1" x14ac:dyDescent="0.25">
      <c r="A36" s="79"/>
      <c r="B36" s="79"/>
      <c r="C36" s="79"/>
      <c r="D36" s="79"/>
      <c r="E36" s="79"/>
      <c r="F36" s="204" t="s">
        <v>26</v>
      </c>
      <c r="G36" s="205"/>
      <c r="H36" s="206"/>
      <c r="I36" s="147"/>
      <c r="J36" s="223">
        <f>J8+J15+J22+J29</f>
        <v>256.27</v>
      </c>
      <c r="K36" s="80"/>
      <c r="L36" s="75"/>
      <c r="M36" s="3"/>
    </row>
    <row r="37" spans="1:13" ht="13.9" customHeight="1" x14ac:dyDescent="0.25">
      <c r="A37" s="79"/>
      <c r="B37" s="79"/>
      <c r="C37" s="79"/>
      <c r="D37" s="79"/>
      <c r="E37" s="79"/>
      <c r="F37" s="224" t="s">
        <v>27</v>
      </c>
      <c r="G37" s="225"/>
      <c r="H37" s="214"/>
      <c r="I37" s="79"/>
      <c r="J37" s="223"/>
      <c r="K37" s="80"/>
      <c r="L37" s="75"/>
      <c r="M37" s="3"/>
    </row>
    <row r="38" spans="1:13" ht="13.9" customHeight="1" x14ac:dyDescent="0.25">
      <c r="A38" s="79"/>
      <c r="B38" s="79"/>
      <c r="C38" s="79"/>
      <c r="D38" s="79"/>
      <c r="E38" s="79"/>
      <c r="F38" s="213" t="s">
        <v>28</v>
      </c>
      <c r="G38" s="214"/>
      <c r="H38" s="215"/>
      <c r="I38" s="81"/>
      <c r="J38" s="31">
        <f>J9+J16+J23+J30</f>
        <v>236.99433094285718</v>
      </c>
      <c r="K38" s="77"/>
      <c r="L38" s="75"/>
      <c r="M38" s="3"/>
    </row>
    <row r="39" spans="1:13" ht="13.9" customHeight="1" thickBot="1" x14ac:dyDescent="0.3">
      <c r="A39" s="79"/>
      <c r="B39" s="79"/>
      <c r="C39" s="79"/>
      <c r="D39" s="79"/>
      <c r="E39" s="79"/>
      <c r="F39" s="216" t="s">
        <v>9</v>
      </c>
      <c r="G39" s="217"/>
      <c r="H39" s="218"/>
      <c r="I39" s="82"/>
      <c r="J39" s="61">
        <f>J10+J17+J24+J31</f>
        <v>19.275669057142832</v>
      </c>
      <c r="K39" s="77"/>
      <c r="L39" s="75"/>
      <c r="M39" s="3"/>
    </row>
    <row r="40" spans="1:13" ht="14.45" customHeight="1" x14ac:dyDescent="0.25">
      <c r="M40" s="3"/>
    </row>
    <row r="41" spans="1:13" s="11" customFormat="1" ht="61.5" customHeight="1" x14ac:dyDescent="0.25">
      <c r="A41" s="83" t="s">
        <v>0</v>
      </c>
      <c r="B41" s="83" t="s">
        <v>55</v>
      </c>
      <c r="C41" s="84" t="s">
        <v>1</v>
      </c>
      <c r="D41" s="83" t="s">
        <v>2</v>
      </c>
      <c r="E41" s="85" t="s">
        <v>124</v>
      </c>
      <c r="F41" s="85" t="s">
        <v>128</v>
      </c>
      <c r="G41" s="85" t="s">
        <v>33</v>
      </c>
      <c r="H41" s="85" t="s">
        <v>12</v>
      </c>
      <c r="I41" s="86" t="s">
        <v>87</v>
      </c>
      <c r="J41" s="63" t="s">
        <v>6</v>
      </c>
      <c r="K41" s="87" t="s">
        <v>13</v>
      </c>
      <c r="L41" s="88"/>
      <c r="M41" s="13"/>
    </row>
    <row r="42" spans="1:13" x14ac:dyDescent="0.25">
      <c r="A42" s="1">
        <v>1</v>
      </c>
      <c r="B42" s="1"/>
      <c r="C42" s="66">
        <v>43441363</v>
      </c>
      <c r="D42" s="146">
        <v>112.5</v>
      </c>
      <c r="E42" s="5">
        <v>84.912999999999997</v>
      </c>
      <c r="F42" s="5">
        <v>86.608000000000004</v>
      </c>
      <c r="G42" s="28"/>
      <c r="H42" s="16">
        <f>G42*0.8598</f>
        <v>0</v>
      </c>
      <c r="I42" s="16">
        <f>((D42*0.015)*12)/7</f>
        <v>2.8928571428571428</v>
      </c>
      <c r="J42" s="16"/>
      <c r="K42" s="16">
        <f>H42+I42+J42</f>
        <v>2.8928571428571428</v>
      </c>
      <c r="M42" s="13" t="s">
        <v>71</v>
      </c>
    </row>
    <row r="43" spans="1:13" x14ac:dyDescent="0.25">
      <c r="A43" s="1">
        <v>2</v>
      </c>
      <c r="B43" s="47">
        <v>45915</v>
      </c>
      <c r="C43" s="66">
        <v>43242252</v>
      </c>
      <c r="D43" s="146">
        <v>58.7</v>
      </c>
      <c r="E43" s="5">
        <v>49.893999999999998</v>
      </c>
      <c r="F43" s="5">
        <v>50.517000000000003</v>
      </c>
      <c r="G43" s="28">
        <f>F43-E43</f>
        <v>0.62300000000000466</v>
      </c>
      <c r="H43" s="16">
        <f t="shared" ref="H43:H106" si="0">G43*0.8598</f>
        <v>0.535655400000004</v>
      </c>
      <c r="I43" s="16"/>
      <c r="J43" s="16">
        <f>D43/($E$11-$E$12)*$J$10</f>
        <v>2.0355880115582578E-2</v>
      </c>
      <c r="K43" s="16">
        <f>H43+I43+J43</f>
        <v>0.55601128011558654</v>
      </c>
      <c r="M43" s="13" t="s">
        <v>69</v>
      </c>
    </row>
    <row r="44" spans="1:13" x14ac:dyDescent="0.25">
      <c r="A44" s="1">
        <v>3</v>
      </c>
      <c r="B44" s="52">
        <v>45686</v>
      </c>
      <c r="C44" s="10" t="s">
        <v>91</v>
      </c>
      <c r="D44" s="146">
        <v>50.5</v>
      </c>
      <c r="E44" s="39">
        <v>3.1774</v>
      </c>
      <c r="F44" s="39">
        <v>3.5985</v>
      </c>
      <c r="G44" s="5"/>
      <c r="H44" s="16">
        <f>F44-E44</f>
        <v>0.42110000000000003</v>
      </c>
      <c r="I44" s="16"/>
      <c r="J44" s="16">
        <f>D44/($E$11-$E$12)*$J$10</f>
        <v>1.7512298906932202E-2</v>
      </c>
      <c r="K44" s="16">
        <f t="shared" ref="K44:K58" si="1">H44+I44+J44</f>
        <v>0.43861229890693221</v>
      </c>
      <c r="M44" s="13" t="s">
        <v>69</v>
      </c>
    </row>
    <row r="45" spans="1:13" x14ac:dyDescent="0.25">
      <c r="A45" s="1">
        <v>4</v>
      </c>
      <c r="B45" s="34"/>
      <c r="C45" s="66">
        <v>43441362</v>
      </c>
      <c r="D45" s="137">
        <v>51.8</v>
      </c>
      <c r="E45" s="5">
        <v>34.94</v>
      </c>
      <c r="F45" s="5">
        <v>35.265999999999998</v>
      </c>
      <c r="G45" s="28"/>
      <c r="H45" s="16">
        <f t="shared" si="0"/>
        <v>0</v>
      </c>
      <c r="I45" s="16">
        <f>((D45*0.015)*12)/7</f>
        <v>1.3319999999999996</v>
      </c>
      <c r="J45" s="16"/>
      <c r="K45" s="16">
        <f t="shared" si="1"/>
        <v>1.3319999999999996</v>
      </c>
      <c r="M45" s="13" t="s">
        <v>71</v>
      </c>
    </row>
    <row r="46" spans="1:13" x14ac:dyDescent="0.25">
      <c r="A46" s="1">
        <v>5</v>
      </c>
      <c r="B46" s="47">
        <v>45598</v>
      </c>
      <c r="C46" s="66">
        <v>43242251</v>
      </c>
      <c r="D46" s="137">
        <v>52.9</v>
      </c>
      <c r="E46" s="5">
        <v>25.219000000000001</v>
      </c>
      <c r="F46" s="5">
        <v>25.872</v>
      </c>
      <c r="G46" s="28">
        <f>F46-E46</f>
        <v>0.65299999999999869</v>
      </c>
      <c r="H46" s="16">
        <f t="shared" si="0"/>
        <v>0.56144939999999888</v>
      </c>
      <c r="I46" s="16"/>
      <c r="J46" s="16">
        <f t="shared" ref="J46:J48" si="2">D46/($E$11-$E$12)*$J$10</f>
        <v>1.8344566577756703E-2</v>
      </c>
      <c r="K46" s="16">
        <f t="shared" si="1"/>
        <v>0.57979396657775562</v>
      </c>
      <c r="M46" s="13" t="s">
        <v>69</v>
      </c>
    </row>
    <row r="47" spans="1:13" x14ac:dyDescent="0.25">
      <c r="A47" s="1">
        <v>6</v>
      </c>
      <c r="B47" s="47">
        <v>45453</v>
      </c>
      <c r="C47" s="10" t="s">
        <v>56</v>
      </c>
      <c r="D47" s="137">
        <v>99.6</v>
      </c>
      <c r="E47" s="39">
        <v>10.039</v>
      </c>
      <c r="F47" s="39">
        <v>10.837</v>
      </c>
      <c r="G47" s="58"/>
      <c r="H47" s="16">
        <f>F47-E47</f>
        <v>0.79800000000000004</v>
      </c>
      <c r="I47" s="16"/>
      <c r="J47" s="16">
        <f t="shared" si="2"/>
        <v>3.4539108339216779E-2</v>
      </c>
      <c r="K47" s="16">
        <f t="shared" si="1"/>
        <v>0.83253910833921685</v>
      </c>
      <c r="M47" s="13" t="s">
        <v>69</v>
      </c>
    </row>
    <row r="48" spans="1:13" x14ac:dyDescent="0.25">
      <c r="A48" s="1">
        <v>7</v>
      </c>
      <c r="B48" s="47">
        <v>45594</v>
      </c>
      <c r="C48" s="10" t="s">
        <v>70</v>
      </c>
      <c r="D48" s="137">
        <v>112.6</v>
      </c>
      <c r="E48" s="39">
        <v>12.124700000000001</v>
      </c>
      <c r="F48" s="39">
        <v>13.3698</v>
      </c>
      <c r="G48" s="58"/>
      <c r="H48" s="16">
        <f>F48-E48</f>
        <v>1.245099999999999</v>
      </c>
      <c r="I48" s="16"/>
      <c r="J48" s="16">
        <f t="shared" si="2"/>
        <v>3.9047224889516154E-2</v>
      </c>
      <c r="K48" s="16">
        <f t="shared" si="1"/>
        <v>1.2841472248895152</v>
      </c>
      <c r="M48" s="13" t="s">
        <v>69</v>
      </c>
    </row>
    <row r="49" spans="1:13" x14ac:dyDescent="0.25">
      <c r="A49" s="1">
        <v>8</v>
      </c>
      <c r="B49" s="34"/>
      <c r="C49" s="66">
        <v>43441368</v>
      </c>
      <c r="D49" s="137">
        <v>62.5</v>
      </c>
      <c r="E49" s="5">
        <v>18.100000000000001</v>
      </c>
      <c r="F49" s="5">
        <v>18.164999999999999</v>
      </c>
      <c r="G49" s="28"/>
      <c r="H49" s="16">
        <f t="shared" si="0"/>
        <v>0</v>
      </c>
      <c r="I49" s="16">
        <f t="shared" ref="I49:I56" si="3">((D49*0.015)*12)/7</f>
        <v>1.6071428571428572</v>
      </c>
      <c r="J49" s="16"/>
      <c r="K49" s="16">
        <f t="shared" si="1"/>
        <v>1.6071428571428572</v>
      </c>
      <c r="M49" s="13" t="s">
        <v>71</v>
      </c>
    </row>
    <row r="50" spans="1:13" x14ac:dyDescent="0.25">
      <c r="A50" s="1">
        <v>9</v>
      </c>
      <c r="B50" s="33"/>
      <c r="C50" s="66">
        <v>43441366</v>
      </c>
      <c r="D50" s="146">
        <v>50.5</v>
      </c>
      <c r="E50" s="5">
        <v>43.134</v>
      </c>
      <c r="F50" s="5">
        <v>44.137</v>
      </c>
      <c r="G50" s="5"/>
      <c r="H50" s="16">
        <f t="shared" si="0"/>
        <v>0</v>
      </c>
      <c r="I50" s="16">
        <f t="shared" si="3"/>
        <v>1.2985714285714285</v>
      </c>
      <c r="J50" s="16"/>
      <c r="K50" s="16">
        <f t="shared" si="1"/>
        <v>1.2985714285714285</v>
      </c>
      <c r="M50" s="13" t="s">
        <v>71</v>
      </c>
    </row>
    <row r="51" spans="1:13" x14ac:dyDescent="0.25">
      <c r="A51" s="1">
        <v>10</v>
      </c>
      <c r="B51" s="47">
        <v>45746</v>
      </c>
      <c r="C51" s="66">
        <v>43441367</v>
      </c>
      <c r="D51" s="146">
        <v>52.3</v>
      </c>
      <c r="E51" s="5">
        <v>14.464</v>
      </c>
      <c r="F51" s="5">
        <v>14.957000000000001</v>
      </c>
      <c r="G51" s="5">
        <f>F51-E51</f>
        <v>0.49300000000000033</v>
      </c>
      <c r="H51" s="16">
        <f t="shared" si="0"/>
        <v>0.4238814000000003</v>
      </c>
      <c r="I51" s="16"/>
      <c r="J51" s="16">
        <f>D51/($E$11-$E$12)*$J$10</f>
        <v>1.8136499660050574E-2</v>
      </c>
      <c r="K51" s="16">
        <f t="shared" si="1"/>
        <v>0.44201789966005089</v>
      </c>
      <c r="M51" s="13" t="s">
        <v>69</v>
      </c>
    </row>
    <row r="52" spans="1:13" x14ac:dyDescent="0.25">
      <c r="A52" s="1">
        <v>11</v>
      </c>
      <c r="B52" s="33"/>
      <c r="C52" s="66">
        <v>43441360</v>
      </c>
      <c r="D52" s="146">
        <v>53</v>
      </c>
      <c r="E52" s="5">
        <v>20.454000000000001</v>
      </c>
      <c r="F52" s="5">
        <v>20.632999999999999</v>
      </c>
      <c r="G52" s="5"/>
      <c r="H52" s="16">
        <f t="shared" si="0"/>
        <v>0</v>
      </c>
      <c r="I52" s="16">
        <f t="shared" si="3"/>
        <v>1.3628571428571428</v>
      </c>
      <c r="J52" s="16"/>
      <c r="K52" s="16">
        <f t="shared" si="1"/>
        <v>1.3628571428571428</v>
      </c>
      <c r="M52" s="13" t="s">
        <v>71</v>
      </c>
    </row>
    <row r="53" spans="1:13" x14ac:dyDescent="0.25">
      <c r="A53" s="1">
        <v>12</v>
      </c>
      <c r="B53" s="47">
        <v>45600</v>
      </c>
      <c r="C53" s="66">
        <v>43441365</v>
      </c>
      <c r="D53" s="146">
        <v>100.2</v>
      </c>
      <c r="E53" s="5">
        <v>54.914999999999999</v>
      </c>
      <c r="F53" s="5">
        <v>56.545000000000002</v>
      </c>
      <c r="G53" s="5">
        <f>F53-E53</f>
        <v>1.6300000000000026</v>
      </c>
      <c r="H53" s="16">
        <f>G53*0.8598</f>
        <v>1.4014740000000021</v>
      </c>
      <c r="I53" s="16"/>
      <c r="J53" s="16">
        <f>D53/($E$11-$E$12)*$J$10</f>
        <v>3.4747175256922905E-2</v>
      </c>
      <c r="K53" s="16">
        <f t="shared" si="1"/>
        <v>1.4362211752569249</v>
      </c>
      <c r="M53" s="13" t="s">
        <v>69</v>
      </c>
    </row>
    <row r="54" spans="1:13" x14ac:dyDescent="0.25">
      <c r="A54" s="1">
        <v>13</v>
      </c>
      <c r="B54" s="33"/>
      <c r="C54" s="67">
        <v>43441377</v>
      </c>
      <c r="D54" s="146">
        <v>112.4</v>
      </c>
      <c r="E54" s="5">
        <v>67.983000000000004</v>
      </c>
      <c r="F54" s="5">
        <v>69.683000000000007</v>
      </c>
      <c r="G54" s="5"/>
      <c r="H54" s="16">
        <f t="shared" si="0"/>
        <v>0</v>
      </c>
      <c r="I54" s="16">
        <f t="shared" si="3"/>
        <v>2.8902857142857141</v>
      </c>
      <c r="J54" s="16"/>
      <c r="K54" s="16">
        <f t="shared" si="1"/>
        <v>2.8902857142857141</v>
      </c>
      <c r="M54" s="13" t="s">
        <v>71</v>
      </c>
    </row>
    <row r="55" spans="1:13" x14ac:dyDescent="0.25">
      <c r="A55" s="1">
        <v>14</v>
      </c>
      <c r="B55" s="33"/>
      <c r="C55" s="67">
        <v>43441370</v>
      </c>
      <c r="D55" s="146">
        <v>63.8</v>
      </c>
      <c r="E55" s="5">
        <v>69.03</v>
      </c>
      <c r="F55" s="5">
        <v>70.37</v>
      </c>
      <c r="G55" s="5"/>
      <c r="H55" s="16">
        <f t="shared" si="0"/>
        <v>0</v>
      </c>
      <c r="I55" s="16">
        <f t="shared" si="3"/>
        <v>1.6405714285714286</v>
      </c>
      <c r="J55" s="16"/>
      <c r="K55" s="16">
        <f t="shared" si="1"/>
        <v>1.6405714285714286</v>
      </c>
      <c r="M55" s="13" t="s">
        <v>71</v>
      </c>
    </row>
    <row r="56" spans="1:13" x14ac:dyDescent="0.25">
      <c r="A56" s="1">
        <v>15</v>
      </c>
      <c r="B56" s="33"/>
      <c r="C56" s="66">
        <v>43441369</v>
      </c>
      <c r="D56" s="146">
        <v>50.9</v>
      </c>
      <c r="E56" s="5">
        <v>37.716999999999999</v>
      </c>
      <c r="F56" s="5">
        <v>38.435000000000002</v>
      </c>
      <c r="G56" s="5"/>
      <c r="H56" s="16">
        <f t="shared" si="0"/>
        <v>0</v>
      </c>
      <c r="I56" s="16">
        <f t="shared" si="3"/>
        <v>1.3088571428571427</v>
      </c>
      <c r="J56" s="16"/>
      <c r="K56" s="16">
        <f t="shared" si="1"/>
        <v>1.3088571428571427</v>
      </c>
      <c r="M56" s="13" t="s">
        <v>71</v>
      </c>
    </row>
    <row r="57" spans="1:13" x14ac:dyDescent="0.25">
      <c r="A57" s="1">
        <v>16</v>
      </c>
      <c r="B57" s="47">
        <v>45900</v>
      </c>
      <c r="C57" s="66">
        <v>43441375</v>
      </c>
      <c r="D57" s="146">
        <v>52.4</v>
      </c>
      <c r="E57" s="5">
        <v>27.712</v>
      </c>
      <c r="F57" s="5">
        <v>27.977</v>
      </c>
      <c r="G57" s="5">
        <f>F57-E57</f>
        <v>0.26500000000000057</v>
      </c>
      <c r="H57" s="16">
        <f t="shared" si="0"/>
        <v>0.22784700000000049</v>
      </c>
      <c r="I57" s="16"/>
      <c r="J57" s="16">
        <f t="shared" ref="J57:J61" si="4">D57/($E$11-$E$12)*$J$10</f>
        <v>1.8171177479668264E-2</v>
      </c>
      <c r="K57" s="16">
        <f t="shared" si="1"/>
        <v>0.24601817747966875</v>
      </c>
      <c r="M57" s="13" t="s">
        <v>69</v>
      </c>
    </row>
    <row r="58" spans="1:13" x14ac:dyDescent="0.25">
      <c r="A58" s="1">
        <v>17</v>
      </c>
      <c r="B58" s="47">
        <v>45595</v>
      </c>
      <c r="C58" s="66">
        <v>43441376</v>
      </c>
      <c r="D58" s="146">
        <v>53.3</v>
      </c>
      <c r="E58" s="5">
        <v>48.698999999999998</v>
      </c>
      <c r="F58" s="5">
        <v>50.338000000000001</v>
      </c>
      <c r="G58" s="5">
        <f>F58-E58</f>
        <v>1.6390000000000029</v>
      </c>
      <c r="H58" s="16">
        <f>G58*0.8598</f>
        <v>1.4092122000000025</v>
      </c>
      <c r="I58" s="16"/>
      <c r="J58" s="16">
        <f t="shared" si="4"/>
        <v>1.8483277856227453E-2</v>
      </c>
      <c r="K58" s="16">
        <f t="shared" si="1"/>
        <v>1.4276954778562299</v>
      </c>
      <c r="M58" s="13" t="s">
        <v>69</v>
      </c>
    </row>
    <row r="59" spans="1:13" ht="15.75" customHeight="1" x14ac:dyDescent="0.25">
      <c r="A59" s="1">
        <v>18</v>
      </c>
      <c r="B59" s="47">
        <v>45700</v>
      </c>
      <c r="C59" s="66">
        <v>43441361</v>
      </c>
      <c r="D59" s="146">
        <v>100.6</v>
      </c>
      <c r="E59" s="5">
        <v>5.0010000000000003</v>
      </c>
      <c r="F59" s="5">
        <v>5.0510000000000002</v>
      </c>
      <c r="G59" s="5">
        <f>F59-E59</f>
        <v>4.9999999999999822E-2</v>
      </c>
      <c r="H59" s="16">
        <f t="shared" si="0"/>
        <v>4.2989999999999848E-2</v>
      </c>
      <c r="I59" s="16"/>
      <c r="J59" s="16">
        <f t="shared" si="4"/>
        <v>3.4885886535393651E-2</v>
      </c>
      <c r="K59" s="16">
        <f>H59+I59+J59</f>
        <v>7.7875886535393499E-2</v>
      </c>
      <c r="M59" s="13" t="s">
        <v>69</v>
      </c>
    </row>
    <row r="60" spans="1:13" x14ac:dyDescent="0.25">
      <c r="A60" s="1">
        <v>19</v>
      </c>
      <c r="B60" s="47">
        <v>45767</v>
      </c>
      <c r="C60" s="66">
        <v>43441266</v>
      </c>
      <c r="D60" s="146">
        <v>112.4</v>
      </c>
      <c r="E60" s="5">
        <v>45.948</v>
      </c>
      <c r="F60" s="5">
        <v>47.170999999999999</v>
      </c>
      <c r="G60" s="5">
        <f>F60-E60</f>
        <v>1.222999999999999</v>
      </c>
      <c r="H60" s="16">
        <f t="shared" si="0"/>
        <v>1.0515353999999992</v>
      </c>
      <c r="I60" s="16"/>
      <c r="J60" s="16">
        <f t="shared" si="4"/>
        <v>3.8977869250280781E-2</v>
      </c>
      <c r="K60" s="16">
        <f t="shared" ref="K60:K114" si="5">H60+I60+J60</f>
        <v>1.0905132692502799</v>
      </c>
      <c r="M60" s="13" t="s">
        <v>69</v>
      </c>
    </row>
    <row r="61" spans="1:13" x14ac:dyDescent="0.25">
      <c r="A61" s="1">
        <v>20</v>
      </c>
      <c r="B61" s="47">
        <v>45955</v>
      </c>
      <c r="C61" s="66" t="s">
        <v>107</v>
      </c>
      <c r="D61" s="146">
        <v>63</v>
      </c>
      <c r="E61" s="39">
        <v>1.6351</v>
      </c>
      <c r="F61" s="39">
        <v>2.0084</v>
      </c>
      <c r="G61" s="5"/>
      <c r="H61" s="16">
        <f>F61-E61</f>
        <v>0.37329999999999997</v>
      </c>
      <c r="I61" s="16"/>
      <c r="J61" s="16">
        <f t="shared" si="4"/>
        <v>2.1847026359143141E-2</v>
      </c>
      <c r="K61" s="16">
        <f t="shared" si="5"/>
        <v>0.39514702635914312</v>
      </c>
      <c r="M61" s="13" t="s">
        <v>69</v>
      </c>
    </row>
    <row r="62" spans="1:13" x14ac:dyDescent="0.25">
      <c r="A62" s="1">
        <v>21</v>
      </c>
      <c r="B62" s="33"/>
      <c r="C62" s="66">
        <v>43441274</v>
      </c>
      <c r="D62" s="146">
        <v>50.5</v>
      </c>
      <c r="E62" s="5">
        <v>33.417999999999999</v>
      </c>
      <c r="F62" s="5">
        <v>34.732999999999997</v>
      </c>
      <c r="G62" s="5"/>
      <c r="H62" s="16">
        <f t="shared" si="0"/>
        <v>0</v>
      </c>
      <c r="I62" s="16">
        <f>((D62*0.015)*12)/7</f>
        <v>1.2985714285714285</v>
      </c>
      <c r="J62" s="16"/>
      <c r="K62" s="16">
        <f t="shared" si="5"/>
        <v>1.2985714285714285</v>
      </c>
      <c r="M62" s="13" t="s">
        <v>71</v>
      </c>
    </row>
    <row r="63" spans="1:13" x14ac:dyDescent="0.25">
      <c r="A63" s="1">
        <v>22</v>
      </c>
      <c r="B63" s="48">
        <v>45734</v>
      </c>
      <c r="C63" s="66">
        <v>43441273</v>
      </c>
      <c r="D63" s="146">
        <v>52.4</v>
      </c>
      <c r="E63" s="5">
        <v>31.997</v>
      </c>
      <c r="F63" s="5">
        <v>33.139000000000003</v>
      </c>
      <c r="G63" s="5">
        <f>F63-E63</f>
        <v>1.142000000000003</v>
      </c>
      <c r="H63" s="16">
        <f t="shared" si="0"/>
        <v>0.98189160000000264</v>
      </c>
      <c r="I63" s="16"/>
      <c r="J63" s="16">
        <f t="shared" ref="J63:J64" si="6">D63/($E$11-$E$12)*$J$10</f>
        <v>1.8171177479668264E-2</v>
      </c>
      <c r="K63" s="16">
        <f t="shared" si="5"/>
        <v>1.0000627774796709</v>
      </c>
      <c r="M63" s="13" t="s">
        <v>69</v>
      </c>
    </row>
    <row r="64" spans="1:13" x14ac:dyDescent="0.25">
      <c r="A64" s="1">
        <v>23</v>
      </c>
      <c r="B64" s="47">
        <v>45774</v>
      </c>
      <c r="C64" s="66">
        <v>43441371</v>
      </c>
      <c r="D64" s="146">
        <v>53.1</v>
      </c>
      <c r="E64" s="5">
        <v>11.95</v>
      </c>
      <c r="F64" s="5">
        <v>12.071</v>
      </c>
      <c r="G64" s="5">
        <f>F64-E64</f>
        <v>0.12100000000000044</v>
      </c>
      <c r="H64" s="16">
        <f t="shared" si="0"/>
        <v>0.10403580000000039</v>
      </c>
      <c r="I64" s="16"/>
      <c r="J64" s="16">
        <f t="shared" si="6"/>
        <v>1.8413922216992076E-2</v>
      </c>
      <c r="K64" s="16">
        <f t="shared" si="5"/>
        <v>0.12244972221699246</v>
      </c>
      <c r="M64" s="13" t="s">
        <v>69</v>
      </c>
    </row>
    <row r="65" spans="1:13" x14ac:dyDescent="0.25">
      <c r="A65" s="1">
        <v>24</v>
      </c>
      <c r="B65" s="33"/>
      <c r="C65" s="66">
        <v>43441374</v>
      </c>
      <c r="D65" s="146">
        <v>100.7</v>
      </c>
      <c r="E65" s="5">
        <v>76.787000000000006</v>
      </c>
      <c r="F65" s="5">
        <v>78.667000000000002</v>
      </c>
      <c r="G65" s="5"/>
      <c r="H65" s="16">
        <f t="shared" si="0"/>
        <v>0</v>
      </c>
      <c r="I65" s="16">
        <f>((D65*0.015)*12)/7</f>
        <v>2.589428571428571</v>
      </c>
      <c r="J65" s="16"/>
      <c r="K65" s="16">
        <f t="shared" si="5"/>
        <v>2.589428571428571</v>
      </c>
      <c r="M65" s="13" t="s">
        <v>71</v>
      </c>
    </row>
    <row r="66" spans="1:13" x14ac:dyDescent="0.25">
      <c r="A66" s="1">
        <v>25</v>
      </c>
      <c r="B66" s="33" t="s">
        <v>100</v>
      </c>
      <c r="C66" s="66">
        <v>43441275</v>
      </c>
      <c r="D66" s="146">
        <v>112.5</v>
      </c>
      <c r="E66" s="5">
        <v>60.286999999999999</v>
      </c>
      <c r="F66" s="5">
        <v>61.908999999999999</v>
      </c>
      <c r="G66" s="5">
        <f>F66-E66</f>
        <v>1.6219999999999999</v>
      </c>
      <c r="H66" s="16">
        <f t="shared" si="0"/>
        <v>1.3945955999999999</v>
      </c>
      <c r="I66" s="16"/>
      <c r="J66" s="16">
        <f t="shared" ref="J66:J68" si="7">D66/($E$11-$E$12)*$J$10</f>
        <v>3.9012547069898464E-2</v>
      </c>
      <c r="K66" s="16">
        <f t="shared" si="5"/>
        <v>1.4336081470698985</v>
      </c>
      <c r="M66" s="13" t="s">
        <v>69</v>
      </c>
    </row>
    <row r="67" spans="1:13" x14ac:dyDescent="0.25">
      <c r="A67" s="1">
        <v>26</v>
      </c>
      <c r="B67" s="47">
        <v>45803</v>
      </c>
      <c r="C67" s="66">
        <v>43441269</v>
      </c>
      <c r="D67" s="146">
        <v>62.5</v>
      </c>
      <c r="E67" s="5">
        <v>14.089</v>
      </c>
      <c r="F67" s="5">
        <v>15.273999999999999</v>
      </c>
      <c r="G67" s="5">
        <f>F67-E67</f>
        <v>1.1849999999999987</v>
      </c>
      <c r="H67" s="16">
        <f t="shared" si="0"/>
        <v>1.018862999999999</v>
      </c>
      <c r="I67" s="16"/>
      <c r="J67" s="16">
        <f t="shared" si="7"/>
        <v>2.1673637261054705E-2</v>
      </c>
      <c r="K67" s="16">
        <f t="shared" si="5"/>
        <v>1.0405366372610536</v>
      </c>
      <c r="M67" s="13" t="s">
        <v>69</v>
      </c>
    </row>
    <row r="68" spans="1:13" x14ac:dyDescent="0.25">
      <c r="A68" s="1">
        <v>27</v>
      </c>
      <c r="B68" s="47">
        <v>45725</v>
      </c>
      <c r="C68" s="66">
        <v>43441270</v>
      </c>
      <c r="D68" s="146">
        <v>51.2</v>
      </c>
      <c r="E68" s="5">
        <v>1.244</v>
      </c>
      <c r="F68" s="5">
        <v>1.2549999999999999</v>
      </c>
      <c r="G68" s="28">
        <f>F68-E68</f>
        <v>1.0999999999999899E-2</v>
      </c>
      <c r="H68" s="16">
        <f>G68*0.8598</f>
        <v>9.4577999999999138E-3</v>
      </c>
      <c r="I68" s="16"/>
      <c r="J68" s="16">
        <f t="shared" si="7"/>
        <v>1.7755043644256015E-2</v>
      </c>
      <c r="K68" s="16">
        <f t="shared" si="5"/>
        <v>2.7212843644255927E-2</v>
      </c>
      <c r="M68" s="13" t="s">
        <v>69</v>
      </c>
    </row>
    <row r="69" spans="1:13" x14ac:dyDescent="0.25">
      <c r="A69" s="1">
        <v>28</v>
      </c>
      <c r="B69" s="33"/>
      <c r="C69" s="66">
        <v>43441264</v>
      </c>
      <c r="D69" s="146">
        <v>52.5</v>
      </c>
      <c r="E69" s="5">
        <v>22.911999999999999</v>
      </c>
      <c r="F69" s="5">
        <v>23.975999999999999</v>
      </c>
      <c r="G69" s="5"/>
      <c r="H69" s="16">
        <f t="shared" si="0"/>
        <v>0</v>
      </c>
      <c r="I69" s="16">
        <f>((D69*0.015)*12)/7</f>
        <v>1.3499999999999999</v>
      </c>
      <c r="J69" s="16"/>
      <c r="K69" s="16">
        <f t="shared" si="5"/>
        <v>1.3499999999999999</v>
      </c>
      <c r="M69" s="13" t="s">
        <v>71</v>
      </c>
    </row>
    <row r="70" spans="1:13" x14ac:dyDescent="0.25">
      <c r="A70" s="1">
        <v>29</v>
      </c>
      <c r="B70" s="47">
        <v>45718</v>
      </c>
      <c r="C70" s="66">
        <v>43441272</v>
      </c>
      <c r="D70" s="146">
        <v>52.8</v>
      </c>
      <c r="E70" s="5">
        <v>23.100999999999999</v>
      </c>
      <c r="F70" s="5">
        <v>23.321000000000002</v>
      </c>
      <c r="G70" s="28">
        <f>F70-E70</f>
        <v>0.22000000000000242</v>
      </c>
      <c r="H70" s="16">
        <f t="shared" si="0"/>
        <v>0.18915600000000207</v>
      </c>
      <c r="I70" s="16"/>
      <c r="J70" s="16">
        <f t="shared" ref="J70:J71" si="8">D70/($E$11-$E$12)*$J$10</f>
        <v>1.8309888758139017E-2</v>
      </c>
      <c r="K70" s="16">
        <f t="shared" si="5"/>
        <v>0.20746588875814109</v>
      </c>
      <c r="M70" s="13" t="s">
        <v>69</v>
      </c>
    </row>
    <row r="71" spans="1:13" x14ac:dyDescent="0.25">
      <c r="A71" s="1">
        <v>30</v>
      </c>
      <c r="B71" s="48">
        <v>45734</v>
      </c>
      <c r="C71" s="66">
        <v>43441265</v>
      </c>
      <c r="D71" s="146">
        <v>101.4</v>
      </c>
      <c r="E71" s="5">
        <v>36.375999999999998</v>
      </c>
      <c r="F71" s="5">
        <v>36.828000000000003</v>
      </c>
      <c r="G71" s="28">
        <f>F71-E71</f>
        <v>0.45200000000000529</v>
      </c>
      <c r="H71" s="16">
        <f t="shared" si="0"/>
        <v>0.38862960000000457</v>
      </c>
      <c r="I71" s="16"/>
      <c r="J71" s="16">
        <f t="shared" si="8"/>
        <v>3.5163309092335157E-2</v>
      </c>
      <c r="K71" s="16">
        <f t="shared" si="5"/>
        <v>0.42379290909233974</v>
      </c>
      <c r="M71" s="13" t="s">
        <v>69</v>
      </c>
    </row>
    <row r="72" spans="1:13" x14ac:dyDescent="0.25">
      <c r="A72" s="1">
        <v>31</v>
      </c>
      <c r="B72" s="33"/>
      <c r="C72" s="66">
        <v>43441277</v>
      </c>
      <c r="D72" s="146">
        <v>112.5</v>
      </c>
      <c r="E72" s="5">
        <v>79.241</v>
      </c>
      <c r="F72" s="5">
        <v>81.33</v>
      </c>
      <c r="G72" s="5"/>
      <c r="H72" s="16">
        <f t="shared" si="0"/>
        <v>0</v>
      </c>
      <c r="I72" s="16">
        <f>((D72*0.015)*12)/7</f>
        <v>2.8928571428571428</v>
      </c>
      <c r="J72" s="16"/>
      <c r="K72" s="16">
        <f t="shared" si="5"/>
        <v>2.8928571428571428</v>
      </c>
      <c r="M72" s="13" t="s">
        <v>71</v>
      </c>
    </row>
    <row r="73" spans="1:13" x14ac:dyDescent="0.25">
      <c r="A73" s="1">
        <v>32</v>
      </c>
      <c r="B73" s="47">
        <v>45923</v>
      </c>
      <c r="C73" s="66">
        <v>43441276</v>
      </c>
      <c r="D73" s="146">
        <v>63.1</v>
      </c>
      <c r="E73" s="5">
        <v>50.578000000000003</v>
      </c>
      <c r="F73" s="5">
        <v>51.365000000000002</v>
      </c>
      <c r="G73" s="28">
        <f>F73-E73</f>
        <v>0.78699999999999903</v>
      </c>
      <c r="H73" s="16">
        <f t="shared" si="0"/>
        <v>0.67666259999999923</v>
      </c>
      <c r="I73" s="16"/>
      <c r="J73" s="16">
        <f t="shared" ref="J73:J74" si="9">D73/($E$11-$E$12)*$J$10</f>
        <v>2.1881704178760831E-2</v>
      </c>
      <c r="K73" s="16">
        <f t="shared" si="5"/>
        <v>0.69854430417876001</v>
      </c>
      <c r="M73" s="13" t="s">
        <v>69</v>
      </c>
    </row>
    <row r="74" spans="1:13" x14ac:dyDescent="0.25">
      <c r="A74" s="1">
        <v>33</v>
      </c>
      <c r="B74" s="47">
        <v>45865</v>
      </c>
      <c r="C74" s="66">
        <v>43441279</v>
      </c>
      <c r="D74" s="146">
        <v>50.9</v>
      </c>
      <c r="E74" s="5">
        <v>47.848999999999997</v>
      </c>
      <c r="F74" s="5">
        <v>48.884999999999998</v>
      </c>
      <c r="G74" s="28">
        <f>F74-E74</f>
        <v>1.0360000000000014</v>
      </c>
      <c r="H74" s="16">
        <f t="shared" si="0"/>
        <v>0.89075280000000123</v>
      </c>
      <c r="I74" s="16"/>
      <c r="J74" s="16">
        <f t="shared" si="9"/>
        <v>1.7651010185402952E-2</v>
      </c>
      <c r="K74" s="16">
        <f t="shared" si="5"/>
        <v>0.90840381018540417</v>
      </c>
      <c r="M74" s="13" t="s">
        <v>69</v>
      </c>
    </row>
    <row r="75" spans="1:13" x14ac:dyDescent="0.25">
      <c r="A75" s="1">
        <v>34</v>
      </c>
      <c r="B75" s="33"/>
      <c r="C75" s="66">
        <v>43441281</v>
      </c>
      <c r="D75" s="146">
        <v>52.2</v>
      </c>
      <c r="E75" s="5">
        <v>38.22</v>
      </c>
      <c r="F75" s="5">
        <v>39.03</v>
      </c>
      <c r="G75" s="5"/>
      <c r="H75" s="16">
        <f t="shared" si="0"/>
        <v>0</v>
      </c>
      <c r="I75" s="16">
        <f>((D75*0.015)*12)/7</f>
        <v>1.3422857142857143</v>
      </c>
      <c r="J75" s="16"/>
      <c r="K75" s="16">
        <f t="shared" si="5"/>
        <v>1.3422857142857143</v>
      </c>
      <c r="M75" s="13" t="s">
        <v>71</v>
      </c>
    </row>
    <row r="76" spans="1:13" x14ac:dyDescent="0.25">
      <c r="A76" s="1">
        <v>35</v>
      </c>
      <c r="B76" s="33"/>
      <c r="C76" s="66">
        <v>43441282</v>
      </c>
      <c r="D76" s="146">
        <v>53</v>
      </c>
      <c r="E76" s="5">
        <v>40.219000000000001</v>
      </c>
      <c r="F76" s="5">
        <v>41.347999999999999</v>
      </c>
      <c r="G76" s="5"/>
      <c r="H76" s="16">
        <f t="shared" si="0"/>
        <v>0</v>
      </c>
      <c r="I76" s="16">
        <f>((D76*0.015)*12)/7</f>
        <v>1.3628571428571428</v>
      </c>
      <c r="J76" s="16"/>
      <c r="K76" s="16">
        <f t="shared" si="5"/>
        <v>1.3628571428571428</v>
      </c>
      <c r="M76" s="13" t="s">
        <v>71</v>
      </c>
    </row>
    <row r="77" spans="1:13" x14ac:dyDescent="0.25">
      <c r="A77" s="1">
        <v>36</v>
      </c>
      <c r="B77" s="33"/>
      <c r="C77" s="66">
        <v>43441280</v>
      </c>
      <c r="D77" s="146">
        <v>103.1</v>
      </c>
      <c r="E77" s="5">
        <v>66.578999999999994</v>
      </c>
      <c r="F77" s="5">
        <v>68.671000000000006</v>
      </c>
      <c r="G77" s="5"/>
      <c r="H77" s="16">
        <f t="shared" si="0"/>
        <v>0</v>
      </c>
      <c r="I77" s="16">
        <f>((D77*0.015)*12)/7</f>
        <v>2.6511428571428568</v>
      </c>
      <c r="J77" s="16"/>
      <c r="K77" s="16">
        <f t="shared" si="5"/>
        <v>2.6511428571428568</v>
      </c>
      <c r="M77" s="13" t="s">
        <v>71</v>
      </c>
    </row>
    <row r="78" spans="1:13" x14ac:dyDescent="0.25">
      <c r="A78" s="1">
        <v>37</v>
      </c>
      <c r="B78" s="47">
        <v>46651</v>
      </c>
      <c r="C78" s="10" t="s">
        <v>101</v>
      </c>
      <c r="D78" s="146">
        <v>112.4</v>
      </c>
      <c r="E78" s="5">
        <v>7.9859999999999998</v>
      </c>
      <c r="F78" s="5">
        <v>8.7899999999999991</v>
      </c>
      <c r="G78" s="5"/>
      <c r="H78" s="16">
        <f>F78-E78</f>
        <v>0.80399999999999938</v>
      </c>
      <c r="I78" s="16"/>
      <c r="J78" s="16">
        <f t="shared" ref="J78:J79" si="10">D78/($E$11-$E$12)*$J$10</f>
        <v>3.8977869250280781E-2</v>
      </c>
      <c r="K78" s="16">
        <f t="shared" si="5"/>
        <v>0.84297786925028018</v>
      </c>
      <c r="M78" s="13" t="s">
        <v>69</v>
      </c>
    </row>
    <row r="79" spans="1:13" x14ac:dyDescent="0.25">
      <c r="A79" s="1">
        <v>38</v>
      </c>
      <c r="B79" s="47">
        <v>45946</v>
      </c>
      <c r="C79" s="66">
        <v>43441344</v>
      </c>
      <c r="D79" s="146">
        <v>62.8</v>
      </c>
      <c r="E79" s="5">
        <v>32.112000000000002</v>
      </c>
      <c r="F79" s="5">
        <v>33.173000000000002</v>
      </c>
      <c r="G79" s="28">
        <f>F79-E79</f>
        <v>1.0609999999999999</v>
      </c>
      <c r="H79" s="16">
        <f t="shared" si="0"/>
        <v>0.91224779999999994</v>
      </c>
      <c r="I79" s="16"/>
      <c r="J79" s="16">
        <f t="shared" si="10"/>
        <v>2.1777670719907768E-2</v>
      </c>
      <c r="K79" s="16">
        <f t="shared" si="5"/>
        <v>0.93402547071990771</v>
      </c>
      <c r="M79" s="13" t="s">
        <v>69</v>
      </c>
    </row>
    <row r="80" spans="1:13" x14ac:dyDescent="0.25">
      <c r="A80" s="1">
        <v>39</v>
      </c>
      <c r="B80" s="33"/>
      <c r="C80" s="66">
        <v>43441341</v>
      </c>
      <c r="D80" s="146">
        <v>50.5</v>
      </c>
      <c r="E80" s="5">
        <v>9.234</v>
      </c>
      <c r="F80" s="5">
        <v>10.38</v>
      </c>
      <c r="G80" s="5"/>
      <c r="H80" s="16">
        <f t="shared" si="0"/>
        <v>0</v>
      </c>
      <c r="I80" s="16">
        <f>((D80*0.015)*12)/7</f>
        <v>1.2985714285714285</v>
      </c>
      <c r="J80" s="16"/>
      <c r="K80" s="16">
        <f t="shared" si="5"/>
        <v>1.2985714285714285</v>
      </c>
      <c r="M80" s="13" t="s">
        <v>71</v>
      </c>
    </row>
    <row r="81" spans="1:14" x14ac:dyDescent="0.25">
      <c r="A81" s="1">
        <v>40</v>
      </c>
      <c r="B81" s="47">
        <v>45594</v>
      </c>
      <c r="C81" s="10" t="s">
        <v>72</v>
      </c>
      <c r="D81" s="137">
        <v>52.3</v>
      </c>
      <c r="E81" s="39">
        <v>1.7085999999999999</v>
      </c>
      <c r="F81" s="39">
        <v>1.8004</v>
      </c>
      <c r="G81" s="58"/>
      <c r="H81" s="16">
        <f>F81-E81</f>
        <v>9.1800000000000104E-2</v>
      </c>
      <c r="I81" s="16"/>
      <c r="J81" s="16">
        <f t="shared" ref="J81:J85" si="11">D81/($E$11-$E$12)*$J$10</f>
        <v>1.8136499660050574E-2</v>
      </c>
      <c r="K81" s="16">
        <f t="shared" si="5"/>
        <v>0.10993649966005067</v>
      </c>
      <c r="M81" s="13" t="s">
        <v>69</v>
      </c>
    </row>
    <row r="82" spans="1:14" x14ac:dyDescent="0.25">
      <c r="A82" s="1">
        <v>41</v>
      </c>
      <c r="B82" s="47">
        <v>45573</v>
      </c>
      <c r="C82" s="66">
        <v>43441283</v>
      </c>
      <c r="D82" s="137">
        <v>53</v>
      </c>
      <c r="E82" s="5">
        <v>15.311999999999999</v>
      </c>
      <c r="F82" s="5">
        <v>15.311999999999999</v>
      </c>
      <c r="G82" s="28">
        <f>F82-E82</f>
        <v>0</v>
      </c>
      <c r="H82" s="16">
        <f t="shared" si="0"/>
        <v>0</v>
      </c>
      <c r="I82" s="16"/>
      <c r="J82" s="16">
        <f t="shared" si="11"/>
        <v>1.837924439737439E-2</v>
      </c>
      <c r="K82" s="16">
        <f t="shared" si="5"/>
        <v>1.837924439737439E-2</v>
      </c>
      <c r="M82" s="13" t="s">
        <v>69</v>
      </c>
    </row>
    <row r="83" spans="1:14" x14ac:dyDescent="0.25">
      <c r="A83" s="1">
        <v>42</v>
      </c>
      <c r="B83" s="47">
        <v>45459</v>
      </c>
      <c r="C83" s="10" t="s">
        <v>57</v>
      </c>
      <c r="D83" s="137">
        <v>100.1</v>
      </c>
      <c r="E83" s="39">
        <v>12.061</v>
      </c>
      <c r="F83" s="39">
        <v>13.236000000000001</v>
      </c>
      <c r="G83" s="58"/>
      <c r="H83" s="16">
        <f>F83-E83</f>
        <v>1.1750000000000007</v>
      </c>
      <c r="I83" s="16"/>
      <c r="J83" s="16">
        <f t="shared" si="11"/>
        <v>3.4712497437305215E-2</v>
      </c>
      <c r="K83" s="16">
        <f t="shared" si="5"/>
        <v>1.2097124974373059</v>
      </c>
      <c r="M83" s="13" t="s">
        <v>69</v>
      </c>
    </row>
    <row r="84" spans="1:14" x14ac:dyDescent="0.25">
      <c r="A84" s="1">
        <v>43</v>
      </c>
      <c r="B84" s="48">
        <v>45866</v>
      </c>
      <c r="C84" s="66">
        <v>43441342</v>
      </c>
      <c r="D84" s="137">
        <v>69.3</v>
      </c>
      <c r="E84" s="5">
        <v>8.3390000000000004</v>
      </c>
      <c r="F84" s="5">
        <v>8.3390000000000004</v>
      </c>
      <c r="G84" s="28">
        <f>F84-E84</f>
        <v>0</v>
      </c>
      <c r="H84" s="16">
        <f t="shared" si="0"/>
        <v>0</v>
      </c>
      <c r="I84" s="16"/>
      <c r="J84" s="16">
        <f t="shared" si="11"/>
        <v>2.4031728995057455E-2</v>
      </c>
      <c r="K84" s="16">
        <f t="shared" si="5"/>
        <v>2.4031728995057455E-2</v>
      </c>
      <c r="M84" s="13" t="s">
        <v>69</v>
      </c>
    </row>
    <row r="85" spans="1:14" x14ac:dyDescent="0.25">
      <c r="A85" s="1">
        <v>44</v>
      </c>
      <c r="B85" s="47">
        <v>45747</v>
      </c>
      <c r="C85" s="66">
        <v>43441345</v>
      </c>
      <c r="D85" s="137">
        <v>53.3</v>
      </c>
      <c r="E85" s="5">
        <v>19.036000000000001</v>
      </c>
      <c r="F85" s="5">
        <v>18.646000000000001</v>
      </c>
      <c r="G85" s="28">
        <f>F85-E85</f>
        <v>-0.39000000000000057</v>
      </c>
      <c r="H85" s="16">
        <f t="shared" si="0"/>
        <v>-0.33532200000000051</v>
      </c>
      <c r="I85" s="16"/>
      <c r="J85" s="16">
        <f t="shared" si="11"/>
        <v>1.8483277856227453E-2</v>
      </c>
      <c r="K85" s="16">
        <f t="shared" si="5"/>
        <v>-0.31683872214377307</v>
      </c>
      <c r="M85" s="13" t="s">
        <v>69</v>
      </c>
    </row>
    <row r="86" spans="1:14" x14ac:dyDescent="0.25">
      <c r="A86" s="1">
        <v>45</v>
      </c>
      <c r="B86" s="33"/>
      <c r="C86" s="66">
        <v>43441348</v>
      </c>
      <c r="D86" s="137">
        <v>52.9</v>
      </c>
      <c r="E86" s="5">
        <v>57.167999999999999</v>
      </c>
      <c r="F86" s="5">
        <v>58.539000000000001</v>
      </c>
      <c r="G86" s="28"/>
      <c r="H86" s="16">
        <f t="shared" si="0"/>
        <v>0</v>
      </c>
      <c r="I86" s="16">
        <f>((D86*0.015)*12)/7</f>
        <v>1.3602857142857143</v>
      </c>
      <c r="J86" s="16"/>
      <c r="K86" s="16">
        <f t="shared" si="5"/>
        <v>1.3602857142857143</v>
      </c>
      <c r="M86" s="13" t="s">
        <v>71</v>
      </c>
    </row>
    <row r="87" spans="1:14" x14ac:dyDescent="0.25">
      <c r="A87" s="1">
        <v>46</v>
      </c>
      <c r="B87" s="52">
        <v>45866</v>
      </c>
      <c r="C87" s="66">
        <v>43441349</v>
      </c>
      <c r="D87" s="146">
        <v>100.9</v>
      </c>
      <c r="E87" s="5">
        <v>25.061</v>
      </c>
      <c r="F87" s="5">
        <v>25.091999999999999</v>
      </c>
      <c r="G87" s="5">
        <f>F87-E87</f>
        <v>3.0999999999998806E-2</v>
      </c>
      <c r="H87" s="16">
        <f t="shared" si="0"/>
        <v>2.6653799999998975E-2</v>
      </c>
      <c r="I87" s="16"/>
      <c r="J87" s="16">
        <f t="shared" ref="J87:J91" si="12">D87/($E$11-$E$12)*$J$10</f>
        <v>3.4989919994246721E-2</v>
      </c>
      <c r="K87" s="16">
        <f t="shared" si="5"/>
        <v>6.1643719994245699E-2</v>
      </c>
      <c r="M87" s="13" t="s">
        <v>69</v>
      </c>
    </row>
    <row r="88" spans="1:14" x14ac:dyDescent="0.25">
      <c r="A88" s="1">
        <v>47</v>
      </c>
      <c r="B88" s="47">
        <v>45459</v>
      </c>
      <c r="C88" s="66" t="s">
        <v>108</v>
      </c>
      <c r="D88" s="146">
        <v>85.4</v>
      </c>
      <c r="E88" s="39">
        <v>1.7787999999999999</v>
      </c>
      <c r="F88" s="39">
        <v>2.1806999999999999</v>
      </c>
      <c r="G88" s="5"/>
      <c r="H88" s="16">
        <f>F88-E88</f>
        <v>0.40189999999999992</v>
      </c>
      <c r="I88" s="16"/>
      <c r="J88" s="16">
        <f t="shared" si="12"/>
        <v>2.9614857953505151E-2</v>
      </c>
      <c r="K88" s="16">
        <f t="shared" si="5"/>
        <v>0.43151485795350508</v>
      </c>
      <c r="M88" s="13" t="s">
        <v>69</v>
      </c>
      <c r="N88" s="12"/>
    </row>
    <row r="89" spans="1:14" x14ac:dyDescent="0.25">
      <c r="A89" s="1">
        <v>48</v>
      </c>
      <c r="B89" s="48">
        <v>45769</v>
      </c>
      <c r="C89" s="66">
        <v>43441356</v>
      </c>
      <c r="D89" s="146">
        <v>53.2</v>
      </c>
      <c r="E89" s="5">
        <v>43.783999999999999</v>
      </c>
      <c r="F89" s="5">
        <v>45.246000000000002</v>
      </c>
      <c r="G89" s="5">
        <f>F89-E89</f>
        <v>1.4620000000000033</v>
      </c>
      <c r="H89" s="16">
        <f>G89*0.8598</f>
        <v>1.2570276000000029</v>
      </c>
      <c r="I89" s="16"/>
      <c r="J89" s="16">
        <f t="shared" si="12"/>
        <v>1.8448600036609763E-2</v>
      </c>
      <c r="K89" s="16">
        <f t="shared" si="5"/>
        <v>1.2754762000366127</v>
      </c>
      <c r="M89" s="13" t="s">
        <v>69</v>
      </c>
    </row>
    <row r="90" spans="1:14" x14ac:dyDescent="0.25">
      <c r="A90" s="1">
        <v>49</v>
      </c>
      <c r="B90" s="47">
        <v>45607</v>
      </c>
      <c r="C90" s="66">
        <v>43441343</v>
      </c>
      <c r="D90" s="146">
        <v>53.3</v>
      </c>
      <c r="E90" s="5">
        <v>17.286999999999999</v>
      </c>
      <c r="F90" s="5">
        <v>17.975999999999999</v>
      </c>
      <c r="G90" s="5">
        <f>F90-E90</f>
        <v>0.68900000000000006</v>
      </c>
      <c r="H90" s="16">
        <f t="shared" si="0"/>
        <v>0.5924022000000001</v>
      </c>
      <c r="I90" s="16"/>
      <c r="J90" s="16">
        <f t="shared" si="12"/>
        <v>1.8483277856227453E-2</v>
      </c>
      <c r="K90" s="16">
        <f t="shared" si="5"/>
        <v>0.6108854778562276</v>
      </c>
      <c r="L90" s="24"/>
      <c r="M90" s="13" t="s">
        <v>69</v>
      </c>
    </row>
    <row r="91" spans="1:14" x14ac:dyDescent="0.25">
      <c r="A91" s="1">
        <v>50</v>
      </c>
      <c r="B91" s="52">
        <v>45846</v>
      </c>
      <c r="C91" s="66">
        <v>43441352</v>
      </c>
      <c r="D91" s="146">
        <v>99.5</v>
      </c>
      <c r="E91" s="5">
        <v>80.867000000000004</v>
      </c>
      <c r="F91" s="5">
        <v>77.572000000000003</v>
      </c>
      <c r="G91" s="5">
        <f>F91-E91</f>
        <v>-3.2950000000000017</v>
      </c>
      <c r="H91" s="16">
        <f>G91*0.8598</f>
        <v>-2.8330410000000015</v>
      </c>
      <c r="I91" s="16"/>
      <c r="J91" s="16">
        <f t="shared" si="12"/>
        <v>3.4504430519599089E-2</v>
      </c>
      <c r="K91" s="16">
        <f t="shared" si="5"/>
        <v>-2.7985365694804023</v>
      </c>
      <c r="L91" s="24"/>
      <c r="M91" s="13" t="s">
        <v>69</v>
      </c>
    </row>
    <row r="92" spans="1:14" x14ac:dyDescent="0.25">
      <c r="A92" s="1">
        <v>51</v>
      </c>
      <c r="B92" s="38"/>
      <c r="C92" s="66">
        <v>43441357</v>
      </c>
      <c r="D92" s="146">
        <v>84.8</v>
      </c>
      <c r="E92" s="5">
        <v>90.488</v>
      </c>
      <c r="F92" s="5">
        <v>90.488</v>
      </c>
      <c r="G92" s="5"/>
      <c r="H92" s="16">
        <f t="shared" si="0"/>
        <v>0</v>
      </c>
      <c r="I92" s="16">
        <f>((D92*0.015)*12)/7</f>
        <v>2.1805714285714286</v>
      </c>
      <c r="J92" s="16"/>
      <c r="K92" s="16">
        <f t="shared" si="5"/>
        <v>2.1805714285714286</v>
      </c>
      <c r="L92" s="24"/>
      <c r="M92" s="13" t="s">
        <v>71</v>
      </c>
    </row>
    <row r="93" spans="1:14" x14ac:dyDescent="0.25">
      <c r="A93" s="1">
        <v>52</v>
      </c>
      <c r="B93" s="38"/>
      <c r="C93" s="66">
        <v>43441355</v>
      </c>
      <c r="D93" s="146">
        <v>52.9</v>
      </c>
      <c r="E93" s="5">
        <v>46.182000000000002</v>
      </c>
      <c r="F93" s="5">
        <v>47.430999999999997</v>
      </c>
      <c r="G93" s="5"/>
      <c r="H93" s="16">
        <f>G93*0.8598</f>
        <v>0</v>
      </c>
      <c r="I93" s="16">
        <f>((D93*0.015)*12)/7</f>
        <v>1.3602857142857143</v>
      </c>
      <c r="J93" s="16"/>
      <c r="K93" s="16">
        <f t="shared" si="5"/>
        <v>1.3602857142857143</v>
      </c>
      <c r="L93" s="24"/>
      <c r="M93" s="13" t="s">
        <v>71</v>
      </c>
    </row>
    <row r="94" spans="1:14" x14ac:dyDescent="0.25">
      <c r="A94" s="1">
        <v>53</v>
      </c>
      <c r="B94" s="48">
        <v>45635</v>
      </c>
      <c r="C94" s="66">
        <v>43441358</v>
      </c>
      <c r="D94" s="146">
        <v>52.8</v>
      </c>
      <c r="E94" s="5">
        <v>18.449000000000002</v>
      </c>
      <c r="F94" s="5">
        <v>18.544</v>
      </c>
      <c r="G94" s="5">
        <f>F94-E94</f>
        <v>9.4999999999998863E-2</v>
      </c>
      <c r="H94" s="16">
        <f t="shared" si="0"/>
        <v>8.1680999999999018E-2</v>
      </c>
      <c r="I94" s="16"/>
      <c r="J94" s="16">
        <f t="shared" ref="J94:J95" si="13">D94/($E$11-$E$12)*$J$10</f>
        <v>1.8309888758139017E-2</v>
      </c>
      <c r="K94" s="16">
        <f t="shared" si="5"/>
        <v>9.9990888758138038E-2</v>
      </c>
      <c r="L94" s="24"/>
      <c r="M94" s="13" t="s">
        <v>69</v>
      </c>
    </row>
    <row r="95" spans="1:14" x14ac:dyDescent="0.25">
      <c r="A95" s="1">
        <v>54</v>
      </c>
      <c r="B95" s="47">
        <v>45725</v>
      </c>
      <c r="C95" s="10" t="s">
        <v>102</v>
      </c>
      <c r="D95" s="89">
        <v>101</v>
      </c>
      <c r="E95" s="39">
        <v>3.5804</v>
      </c>
      <c r="F95" s="39">
        <v>4.3102</v>
      </c>
      <c r="G95" s="5"/>
      <c r="H95" s="16">
        <f>F95-E95</f>
        <v>0.7298</v>
      </c>
      <c r="I95" s="16"/>
      <c r="J95" s="16">
        <f t="shared" si="13"/>
        <v>3.5024597813864404E-2</v>
      </c>
      <c r="K95" s="16">
        <f t="shared" si="5"/>
        <v>0.76482459781386436</v>
      </c>
      <c r="L95" s="24"/>
      <c r="M95" s="13" t="s">
        <v>69</v>
      </c>
    </row>
    <row r="96" spans="1:14" x14ac:dyDescent="0.25">
      <c r="A96" s="1">
        <v>55</v>
      </c>
      <c r="B96" s="33"/>
      <c r="C96" s="66">
        <v>43441053</v>
      </c>
      <c r="D96" s="146">
        <v>85.2</v>
      </c>
      <c r="E96" s="5">
        <v>45.667999999999999</v>
      </c>
      <c r="F96" s="5">
        <v>45.667999999999999</v>
      </c>
      <c r="G96" s="5"/>
      <c r="H96" s="16">
        <f t="shared" si="0"/>
        <v>0</v>
      </c>
      <c r="I96" s="16">
        <f>((D96*0.015)*12)/7</f>
        <v>2.1908571428571428</v>
      </c>
      <c r="J96" s="16"/>
      <c r="K96" s="16">
        <f>H96+I96+J96</f>
        <v>2.1908571428571428</v>
      </c>
      <c r="L96" s="24"/>
      <c r="M96" s="13" t="s">
        <v>71</v>
      </c>
    </row>
    <row r="97" spans="1:13" x14ac:dyDescent="0.25">
      <c r="A97" s="1">
        <v>56</v>
      </c>
      <c r="B97" s="47">
        <v>46042</v>
      </c>
      <c r="C97" s="66">
        <v>43441050</v>
      </c>
      <c r="D97" s="146">
        <v>52.5</v>
      </c>
      <c r="E97" s="5">
        <v>30.966000000000001</v>
      </c>
      <c r="F97" s="5">
        <v>30.966000000000001</v>
      </c>
      <c r="G97" s="5">
        <f>F97-E97</f>
        <v>0</v>
      </c>
      <c r="H97" s="16">
        <f t="shared" si="0"/>
        <v>0</v>
      </c>
      <c r="I97" s="16"/>
      <c r="J97" s="16">
        <f>D97/($E$11-$E$12)*$J$10</f>
        <v>1.8205855299285954E-2</v>
      </c>
      <c r="K97" s="16">
        <f t="shared" si="5"/>
        <v>1.8205855299285954E-2</v>
      </c>
      <c r="L97" s="24"/>
      <c r="M97" s="13" t="s">
        <v>69</v>
      </c>
    </row>
    <row r="98" spans="1:13" x14ac:dyDescent="0.25">
      <c r="A98" s="1">
        <v>57</v>
      </c>
      <c r="B98" s="33"/>
      <c r="C98" s="66">
        <v>43441051</v>
      </c>
      <c r="D98" s="146">
        <v>52.4</v>
      </c>
      <c r="E98" s="5">
        <v>37.469000000000001</v>
      </c>
      <c r="F98" s="5">
        <v>38.302</v>
      </c>
      <c r="G98" s="5"/>
      <c r="H98" s="16">
        <f t="shared" si="0"/>
        <v>0</v>
      </c>
      <c r="I98" s="16">
        <f>((D98*0.015)*12)/7</f>
        <v>1.3474285714285712</v>
      </c>
      <c r="J98" s="16"/>
      <c r="K98" s="16">
        <f t="shared" si="5"/>
        <v>1.3474285714285712</v>
      </c>
      <c r="L98" s="24"/>
      <c r="M98" s="13" t="s">
        <v>71</v>
      </c>
    </row>
    <row r="99" spans="1:13" x14ac:dyDescent="0.25">
      <c r="A99" s="1">
        <v>58</v>
      </c>
      <c r="B99" s="33"/>
      <c r="C99" s="66">
        <v>43441052</v>
      </c>
      <c r="D99" s="146">
        <v>101.3</v>
      </c>
      <c r="E99" s="5">
        <v>51.737000000000002</v>
      </c>
      <c r="F99" s="5">
        <v>53.026000000000003</v>
      </c>
      <c r="G99" s="5"/>
      <c r="H99" s="16">
        <f t="shared" si="0"/>
        <v>0</v>
      </c>
      <c r="I99" s="16">
        <f>((D99*0.015)*12)/7</f>
        <v>2.6048571428571425</v>
      </c>
      <c r="J99" s="16"/>
      <c r="K99" s="16">
        <f t="shared" si="5"/>
        <v>2.6048571428571425</v>
      </c>
      <c r="L99" s="24"/>
      <c r="M99" s="13" t="s">
        <v>71</v>
      </c>
    </row>
    <row r="100" spans="1:13" x14ac:dyDescent="0.25">
      <c r="A100" s="1">
        <v>59</v>
      </c>
      <c r="B100" s="47">
        <v>45754</v>
      </c>
      <c r="C100" s="66">
        <v>43441057</v>
      </c>
      <c r="D100" s="146">
        <v>85.3</v>
      </c>
      <c r="E100" s="5">
        <v>25.145</v>
      </c>
      <c r="F100" s="5">
        <v>25.145</v>
      </c>
      <c r="G100" s="5">
        <f>F100-E100</f>
        <v>0</v>
      </c>
      <c r="H100" s="16">
        <f t="shared" si="0"/>
        <v>0</v>
      </c>
      <c r="I100" s="16"/>
      <c r="J100" s="16">
        <f t="shared" ref="J100:J104" si="14">D100/($E$11-$E$12)*$J$10</f>
        <v>2.9580180133887458E-2</v>
      </c>
      <c r="K100" s="16">
        <f>H100+I100+J100</f>
        <v>2.9580180133887458E-2</v>
      </c>
      <c r="L100" s="24"/>
      <c r="M100" s="13" t="s">
        <v>69</v>
      </c>
    </row>
    <row r="101" spans="1:13" x14ac:dyDescent="0.25">
      <c r="A101" s="1">
        <v>60</v>
      </c>
      <c r="B101" s="47">
        <v>45703</v>
      </c>
      <c r="C101" s="66">
        <v>43441058</v>
      </c>
      <c r="D101" s="146">
        <v>52.5</v>
      </c>
      <c r="E101" s="5">
        <v>9.7870000000000008</v>
      </c>
      <c r="F101" s="5">
        <v>10.763</v>
      </c>
      <c r="G101" s="5">
        <f>F101-E101</f>
        <v>0.97599999999999909</v>
      </c>
      <c r="H101" s="16">
        <f>G101*0.8598</f>
        <v>0.83916479999999927</v>
      </c>
      <c r="I101" s="16"/>
      <c r="J101" s="16">
        <f t="shared" si="14"/>
        <v>1.8205855299285954E-2</v>
      </c>
      <c r="K101" s="16">
        <f t="shared" si="5"/>
        <v>0.85737065529928524</v>
      </c>
      <c r="M101" s="13" t="s">
        <v>69</v>
      </c>
    </row>
    <row r="102" spans="1:13" x14ac:dyDescent="0.25">
      <c r="A102" s="1">
        <v>61</v>
      </c>
      <c r="B102" s="48">
        <v>45517</v>
      </c>
      <c r="C102" s="66">
        <v>43441054</v>
      </c>
      <c r="D102" s="146">
        <v>52.3</v>
      </c>
      <c r="E102" s="5">
        <v>19.032</v>
      </c>
      <c r="F102" s="5">
        <v>19.727</v>
      </c>
      <c r="G102" s="5">
        <f>F102-E102</f>
        <v>0.69500000000000028</v>
      </c>
      <c r="H102" s="16">
        <f t="shared" si="0"/>
        <v>0.59756100000000023</v>
      </c>
      <c r="I102" s="16"/>
      <c r="J102" s="16">
        <f t="shared" si="14"/>
        <v>1.8136499660050574E-2</v>
      </c>
      <c r="K102" s="16">
        <f t="shared" si="5"/>
        <v>0.61569749966005083</v>
      </c>
      <c r="M102" s="13" t="s">
        <v>69</v>
      </c>
    </row>
    <row r="103" spans="1:13" x14ac:dyDescent="0.25">
      <c r="A103" s="1">
        <v>62</v>
      </c>
      <c r="B103" s="47">
        <v>45907</v>
      </c>
      <c r="C103" s="66">
        <v>43441056</v>
      </c>
      <c r="D103" s="146">
        <v>100.5</v>
      </c>
      <c r="E103" s="5">
        <v>37.207000000000001</v>
      </c>
      <c r="F103" s="5">
        <v>38.11</v>
      </c>
      <c r="G103" s="5">
        <f>F103-E103</f>
        <v>0.90299999999999869</v>
      </c>
      <c r="H103" s="16">
        <f t="shared" si="0"/>
        <v>0.77639939999999885</v>
      </c>
      <c r="I103" s="16"/>
      <c r="J103" s="16">
        <f t="shared" si="14"/>
        <v>3.4851208715775968E-2</v>
      </c>
      <c r="K103" s="16">
        <f t="shared" si="5"/>
        <v>0.81125060871577481</v>
      </c>
      <c r="M103" s="13" t="s">
        <v>69</v>
      </c>
    </row>
    <row r="104" spans="1:13" x14ac:dyDescent="0.25">
      <c r="A104" s="1">
        <v>63</v>
      </c>
      <c r="B104" s="47">
        <v>45920</v>
      </c>
      <c r="C104" s="66">
        <v>43441064</v>
      </c>
      <c r="D104" s="146">
        <v>85.2</v>
      </c>
      <c r="E104" s="5">
        <v>28.576000000000001</v>
      </c>
      <c r="F104" s="5">
        <v>29.654</v>
      </c>
      <c r="G104" s="5">
        <f>F104-E104</f>
        <v>1.0779999999999994</v>
      </c>
      <c r="H104" s="16">
        <f t="shared" si="0"/>
        <v>0.92686439999999948</v>
      </c>
      <c r="I104" s="16"/>
      <c r="J104" s="16">
        <f t="shared" si="14"/>
        <v>2.9545502314269775E-2</v>
      </c>
      <c r="K104" s="16">
        <f t="shared" si="5"/>
        <v>0.95640990231426926</v>
      </c>
      <c r="M104" s="13" t="s">
        <v>69</v>
      </c>
    </row>
    <row r="105" spans="1:13" x14ac:dyDescent="0.25">
      <c r="A105" s="1">
        <v>64</v>
      </c>
      <c r="B105" s="33"/>
      <c r="C105" s="66">
        <v>43441061</v>
      </c>
      <c r="D105" s="146">
        <v>52.7</v>
      </c>
      <c r="E105" s="5">
        <v>24.396000000000001</v>
      </c>
      <c r="F105" s="5">
        <v>24.975999999999999</v>
      </c>
      <c r="G105" s="5"/>
      <c r="H105" s="16">
        <f t="shared" si="0"/>
        <v>0</v>
      </c>
      <c r="I105" s="16">
        <f>((D105*0.015)*12)/7</f>
        <v>1.3551428571428572</v>
      </c>
      <c r="J105" s="16"/>
      <c r="K105" s="16">
        <f t="shared" si="5"/>
        <v>1.3551428571428572</v>
      </c>
      <c r="M105" s="13" t="s">
        <v>71</v>
      </c>
    </row>
    <row r="106" spans="1:13" x14ac:dyDescent="0.25">
      <c r="A106" s="1">
        <v>65</v>
      </c>
      <c r="B106" s="33"/>
      <c r="C106" s="66">
        <v>43441055</v>
      </c>
      <c r="D106" s="146">
        <v>53.1</v>
      </c>
      <c r="E106" s="5">
        <v>17.498000000000001</v>
      </c>
      <c r="F106" s="5">
        <v>17.568000000000001</v>
      </c>
      <c r="G106" s="5"/>
      <c r="H106" s="16">
        <f t="shared" si="0"/>
        <v>0</v>
      </c>
      <c r="I106" s="16">
        <f>((D106*0.015)*12)/7</f>
        <v>1.3654285714285714</v>
      </c>
      <c r="J106" s="16"/>
      <c r="K106" s="16">
        <f t="shared" si="5"/>
        <v>1.3654285714285714</v>
      </c>
      <c r="M106" s="13" t="s">
        <v>71</v>
      </c>
    </row>
    <row r="107" spans="1:13" x14ac:dyDescent="0.25">
      <c r="A107" s="1">
        <v>66</v>
      </c>
      <c r="B107" s="47">
        <v>45580</v>
      </c>
      <c r="C107" s="66">
        <v>43441063</v>
      </c>
      <c r="D107" s="146">
        <v>101.1</v>
      </c>
      <c r="E107" s="5">
        <v>7.6669999999999998</v>
      </c>
      <c r="F107" s="5">
        <v>7.6859999999999999</v>
      </c>
      <c r="G107" s="5">
        <f>F107-E107</f>
        <v>1.9000000000000128E-2</v>
      </c>
      <c r="H107" s="16">
        <f t="shared" ref="H107:H122" si="15">G107*0.8598</f>
        <v>1.633620000000011E-2</v>
      </c>
      <c r="I107" s="16"/>
      <c r="J107" s="16">
        <f t="shared" ref="J107:J110" si="16">D107/($E$11-$E$12)*$J$10</f>
        <v>3.5059275633482087E-2</v>
      </c>
      <c r="K107" s="16">
        <f t="shared" si="5"/>
        <v>5.1395475633482193E-2</v>
      </c>
      <c r="M107" s="13" t="s">
        <v>69</v>
      </c>
    </row>
    <row r="108" spans="1:13" x14ac:dyDescent="0.25">
      <c r="A108" s="1">
        <v>67</v>
      </c>
      <c r="B108" s="47">
        <v>45870</v>
      </c>
      <c r="C108" s="66">
        <v>43441067</v>
      </c>
      <c r="D108" s="146">
        <v>84.7</v>
      </c>
      <c r="E108" s="5">
        <f>16.49+1.2705+1.2705</f>
        <v>19.030999999999995</v>
      </c>
      <c r="F108" s="5">
        <f>16.49+1.2705+1.2705</f>
        <v>19.030999999999995</v>
      </c>
      <c r="G108" s="5">
        <f>F108-E108</f>
        <v>0</v>
      </c>
      <c r="H108" s="16">
        <f t="shared" si="15"/>
        <v>0</v>
      </c>
      <c r="I108" s="16"/>
      <c r="J108" s="16">
        <f t="shared" si="16"/>
        <v>2.9372113216181335E-2</v>
      </c>
      <c r="K108" s="16">
        <f t="shared" si="5"/>
        <v>2.9372113216181335E-2</v>
      </c>
      <c r="M108" s="13" t="s">
        <v>69</v>
      </c>
    </row>
    <row r="109" spans="1:13" x14ac:dyDescent="0.25">
      <c r="A109" s="1">
        <v>68</v>
      </c>
      <c r="B109" s="47">
        <v>45790</v>
      </c>
      <c r="C109" s="66">
        <v>43441065</v>
      </c>
      <c r="D109" s="146">
        <v>52.7</v>
      </c>
      <c r="E109" s="5">
        <v>27.030999999999999</v>
      </c>
      <c r="F109" s="5">
        <v>27.725999999999999</v>
      </c>
      <c r="G109" s="5">
        <f>F109-E109</f>
        <v>0.69500000000000028</v>
      </c>
      <c r="H109" s="16">
        <f>G109*0.8598</f>
        <v>0.59756100000000023</v>
      </c>
      <c r="I109" s="16"/>
      <c r="J109" s="16">
        <f t="shared" si="16"/>
        <v>1.8275210938521327E-2</v>
      </c>
      <c r="K109" s="16">
        <f t="shared" si="5"/>
        <v>0.61583621093852159</v>
      </c>
      <c r="M109" s="13" t="s">
        <v>69</v>
      </c>
    </row>
    <row r="110" spans="1:13" x14ac:dyDescent="0.25">
      <c r="A110" s="1">
        <v>69</v>
      </c>
      <c r="B110" s="47">
        <v>45768</v>
      </c>
      <c r="C110" s="66">
        <v>43441060</v>
      </c>
      <c r="D110" s="146">
        <v>53.3</v>
      </c>
      <c r="E110" s="5">
        <v>23.965</v>
      </c>
      <c r="F110" s="5">
        <v>24.498999999999999</v>
      </c>
      <c r="G110" s="5">
        <f>F110-E110</f>
        <v>0.53399999999999892</v>
      </c>
      <c r="H110" s="16">
        <f t="shared" si="15"/>
        <v>0.45913319999999908</v>
      </c>
      <c r="I110" s="16"/>
      <c r="J110" s="16">
        <f t="shared" si="16"/>
        <v>1.8483277856227453E-2</v>
      </c>
      <c r="K110" s="16">
        <f t="shared" si="5"/>
        <v>0.47761647785622652</v>
      </c>
      <c r="M110" s="13" t="s">
        <v>69</v>
      </c>
    </row>
    <row r="111" spans="1:13" x14ac:dyDescent="0.25">
      <c r="A111" s="1">
        <v>70</v>
      </c>
      <c r="B111" s="33"/>
      <c r="C111" s="66">
        <v>43441066</v>
      </c>
      <c r="D111" s="146">
        <v>101.3</v>
      </c>
      <c r="E111" s="5">
        <v>59.222999999999999</v>
      </c>
      <c r="F111" s="5">
        <v>60.247999999999998</v>
      </c>
      <c r="G111" s="5"/>
      <c r="H111" s="16">
        <f t="shared" si="15"/>
        <v>0</v>
      </c>
      <c r="I111" s="16">
        <f t="shared" ref="I111:I117" si="17">((D111*0.015)*12)/7</f>
        <v>2.6048571428571425</v>
      </c>
      <c r="J111" s="16"/>
      <c r="K111" s="16">
        <f t="shared" si="5"/>
        <v>2.6048571428571425</v>
      </c>
      <c r="M111" s="13" t="s">
        <v>71</v>
      </c>
    </row>
    <row r="112" spans="1:13" x14ac:dyDescent="0.25">
      <c r="A112" s="1">
        <v>71</v>
      </c>
      <c r="B112" s="33"/>
      <c r="C112" s="66">
        <v>43441350</v>
      </c>
      <c r="D112" s="146">
        <v>85.7</v>
      </c>
      <c r="E112" s="5">
        <v>72.227999999999994</v>
      </c>
      <c r="F112" s="5">
        <v>72.227999999999994</v>
      </c>
      <c r="G112" s="5"/>
      <c r="H112" s="16">
        <f t="shared" si="15"/>
        <v>0</v>
      </c>
      <c r="I112" s="16">
        <f t="shared" si="17"/>
        <v>2.2037142857142862</v>
      </c>
      <c r="J112" s="16"/>
      <c r="K112" s="16">
        <f t="shared" si="5"/>
        <v>2.2037142857142862</v>
      </c>
      <c r="M112" s="13" t="s">
        <v>71</v>
      </c>
    </row>
    <row r="113" spans="1:15" x14ac:dyDescent="0.25">
      <c r="A113" s="1">
        <v>72</v>
      </c>
      <c r="B113" s="33"/>
      <c r="C113" s="66">
        <v>43441353</v>
      </c>
      <c r="D113" s="146">
        <v>52.8</v>
      </c>
      <c r="E113" s="5">
        <v>29.698</v>
      </c>
      <c r="F113" s="5">
        <v>30.652999999999999</v>
      </c>
      <c r="G113" s="5"/>
      <c r="H113" s="16">
        <f t="shared" si="15"/>
        <v>0</v>
      </c>
      <c r="I113" s="16">
        <f t="shared" si="17"/>
        <v>1.3577142857142857</v>
      </c>
      <c r="J113" s="16"/>
      <c r="K113" s="16">
        <f t="shared" si="5"/>
        <v>1.3577142857142857</v>
      </c>
      <c r="M113" s="13" t="s">
        <v>71</v>
      </c>
    </row>
    <row r="114" spans="1:15" x14ac:dyDescent="0.25">
      <c r="A114" s="1">
        <v>73</v>
      </c>
      <c r="B114" s="33"/>
      <c r="C114" s="66">
        <v>43441062</v>
      </c>
      <c r="D114" s="146">
        <v>52.8</v>
      </c>
      <c r="E114" s="5">
        <v>12.004</v>
      </c>
      <c r="F114" s="5">
        <v>13.522600000000001</v>
      </c>
      <c r="G114" s="5"/>
      <c r="H114" s="16">
        <f t="shared" si="15"/>
        <v>0</v>
      </c>
      <c r="I114" s="16">
        <f t="shared" si="17"/>
        <v>1.3577142857142857</v>
      </c>
      <c r="J114" s="16"/>
      <c r="K114" s="16">
        <f t="shared" si="5"/>
        <v>1.3577142857142857</v>
      </c>
      <c r="M114" s="13" t="s">
        <v>71</v>
      </c>
    </row>
    <row r="115" spans="1:15" ht="15.75" thickBot="1" x14ac:dyDescent="0.3">
      <c r="A115" s="15">
        <v>74</v>
      </c>
      <c r="B115" s="35"/>
      <c r="C115" s="68">
        <v>43441059</v>
      </c>
      <c r="D115" s="90">
        <v>100.6</v>
      </c>
      <c r="E115" s="8">
        <v>44.268000000000001</v>
      </c>
      <c r="F115" s="8">
        <v>45.456000000000003</v>
      </c>
      <c r="G115" s="8"/>
      <c r="H115" s="91">
        <f t="shared" si="15"/>
        <v>0</v>
      </c>
      <c r="I115" s="16">
        <f t="shared" si="17"/>
        <v>2.5868571428571423</v>
      </c>
      <c r="J115" s="16"/>
      <c r="K115" s="16">
        <f>H115+I115+J115</f>
        <v>2.5868571428571423</v>
      </c>
      <c r="M115" s="13" t="s">
        <v>71</v>
      </c>
    </row>
    <row r="116" spans="1:15" ht="15.75" thickBot="1" x14ac:dyDescent="0.3">
      <c r="A116" s="219" t="s">
        <v>73</v>
      </c>
      <c r="B116" s="220"/>
      <c r="C116" s="220"/>
      <c r="D116" s="92">
        <f>SUM(D42:D115)</f>
        <v>5338.7000000000025</v>
      </c>
      <c r="E116" s="221" t="s">
        <v>74</v>
      </c>
      <c r="F116" s="221"/>
      <c r="G116" s="221"/>
      <c r="H116" s="64">
        <f>SUM(H42:H115)</f>
        <v>21.262759000000013</v>
      </c>
      <c r="I116" s="64">
        <f>SUM(I42:I115)</f>
        <v>52.994571428571426</v>
      </c>
      <c r="J116" s="64">
        <f>SUM(J42:J115)</f>
        <v>1.1366695714285615</v>
      </c>
      <c r="K116" s="93">
        <f>SUM(K42:K115)</f>
        <v>75.394000000000005</v>
      </c>
      <c r="M116" s="13"/>
    </row>
    <row r="117" spans="1:15" x14ac:dyDescent="0.25">
      <c r="A117" s="9">
        <v>75</v>
      </c>
      <c r="B117" s="36"/>
      <c r="C117" s="69">
        <v>43441332</v>
      </c>
      <c r="D117" s="151">
        <v>85</v>
      </c>
      <c r="E117" s="6">
        <v>72.198999999999998</v>
      </c>
      <c r="F117" s="6">
        <v>73.784000000000006</v>
      </c>
      <c r="G117" s="6"/>
      <c r="H117" s="19">
        <f t="shared" si="15"/>
        <v>0</v>
      </c>
      <c r="I117" s="16">
        <f t="shared" si="17"/>
        <v>2.1857142857142855</v>
      </c>
      <c r="J117" s="16"/>
      <c r="K117" s="19">
        <f>H117+I117+J117</f>
        <v>2.1857142857142855</v>
      </c>
      <c r="M117" s="13" t="s">
        <v>71</v>
      </c>
    </row>
    <row r="118" spans="1:15" x14ac:dyDescent="0.25">
      <c r="A118" s="1">
        <v>76</v>
      </c>
      <c r="B118" s="47">
        <v>45939</v>
      </c>
      <c r="C118" s="66">
        <v>43441335</v>
      </c>
      <c r="D118" s="146">
        <v>58.3</v>
      </c>
      <c r="E118" s="5">
        <v>44.021999999999998</v>
      </c>
      <c r="F118" s="5">
        <v>45.392000000000003</v>
      </c>
      <c r="G118" s="5">
        <f>F118-E118</f>
        <v>1.3700000000000045</v>
      </c>
      <c r="H118" s="16">
        <f>G118*0.8598</f>
        <v>1.177926000000004</v>
      </c>
      <c r="I118" s="19"/>
      <c r="J118" s="16">
        <f>D118/($E$18-$E$19)*$J$17</f>
        <v>0.30888845625874328</v>
      </c>
      <c r="K118" s="19">
        <f t="shared" ref="K118:K172" si="18">H118+I118+J118</f>
        <v>1.4868144562587473</v>
      </c>
      <c r="M118" s="13" t="s">
        <v>69</v>
      </c>
    </row>
    <row r="119" spans="1:15" x14ac:dyDescent="0.25">
      <c r="A119" s="1">
        <v>77</v>
      </c>
      <c r="B119" s="47">
        <v>45950</v>
      </c>
      <c r="C119" s="66">
        <v>43441338</v>
      </c>
      <c r="D119" s="146">
        <v>58.5</v>
      </c>
      <c r="E119" s="5">
        <v>44.530999999999999</v>
      </c>
      <c r="F119" s="5">
        <v>44.530999999999999</v>
      </c>
      <c r="G119" s="5">
        <f>F119-E119</f>
        <v>0</v>
      </c>
      <c r="H119" s="16">
        <f>G119*0.8598</f>
        <v>0</v>
      </c>
      <c r="I119" s="19"/>
      <c r="J119" s="16">
        <f>D119/($E$18-$E$19)*$J$17</f>
        <v>0.30994810790971672</v>
      </c>
      <c r="K119" s="19">
        <f t="shared" si="18"/>
        <v>0.30994810790971672</v>
      </c>
      <c r="M119" s="13" t="s">
        <v>69</v>
      </c>
    </row>
    <row r="120" spans="1:15" x14ac:dyDescent="0.25">
      <c r="A120" s="1">
        <v>78</v>
      </c>
      <c r="B120" s="47" t="s">
        <v>59</v>
      </c>
      <c r="C120" s="66" t="s">
        <v>109</v>
      </c>
      <c r="D120" s="146">
        <v>76.599999999999994</v>
      </c>
      <c r="E120" s="39">
        <v>4.242</v>
      </c>
      <c r="F120" s="39">
        <v>5.6886999999999999</v>
      </c>
      <c r="G120" s="5"/>
      <c r="H120" s="16">
        <f>F120-E120</f>
        <v>1.4466999999999999</v>
      </c>
      <c r="I120" s="16"/>
      <c r="J120" s="16">
        <f>D120/($E$18-$E$19)*$J$17</f>
        <v>0.40584658232280851</v>
      </c>
      <c r="K120" s="19">
        <f t="shared" si="18"/>
        <v>1.8525465823228084</v>
      </c>
      <c r="M120" s="13" t="s">
        <v>69</v>
      </c>
    </row>
    <row r="121" spans="1:15" x14ac:dyDescent="0.25">
      <c r="A121" s="1">
        <v>79</v>
      </c>
      <c r="B121" s="47">
        <v>45747</v>
      </c>
      <c r="C121" s="66">
        <v>43441336</v>
      </c>
      <c r="D121" s="146">
        <v>85.7</v>
      </c>
      <c r="E121" s="5">
        <v>22.861999999999998</v>
      </c>
      <c r="F121" s="5">
        <v>23.170999999999999</v>
      </c>
      <c r="G121" s="5">
        <f>F121-E121</f>
        <v>0.30900000000000105</v>
      </c>
      <c r="H121" s="16">
        <f>G121*0.8598</f>
        <v>0.26567820000000092</v>
      </c>
      <c r="I121" s="19"/>
      <c r="J121" s="16">
        <f>D121/($E$18-$E$19)*$J$17</f>
        <v>0.45406073244209777</v>
      </c>
      <c r="K121" s="19">
        <f t="shared" si="18"/>
        <v>0.71973893244209863</v>
      </c>
      <c r="M121" s="13" t="s">
        <v>69</v>
      </c>
      <c r="O121" s="24"/>
    </row>
    <row r="122" spans="1:15" x14ac:dyDescent="0.25">
      <c r="A122" s="1">
        <v>80</v>
      </c>
      <c r="B122" s="33"/>
      <c r="C122" s="66">
        <v>43441339</v>
      </c>
      <c r="D122" s="146">
        <v>58.3</v>
      </c>
      <c r="E122" s="5">
        <v>40.317</v>
      </c>
      <c r="F122" s="5">
        <v>41.613999999999997</v>
      </c>
      <c r="G122" s="5"/>
      <c r="H122" s="16">
        <f t="shared" si="15"/>
        <v>0</v>
      </c>
      <c r="I122" s="16">
        <f>((D122*0.015)*12)/7</f>
        <v>1.4991428571428571</v>
      </c>
      <c r="J122" s="16"/>
      <c r="K122" s="19">
        <f t="shared" si="18"/>
        <v>1.4991428571428571</v>
      </c>
      <c r="M122" s="13" t="s">
        <v>71</v>
      </c>
      <c r="O122" s="30"/>
    </row>
    <row r="123" spans="1:15" x14ac:dyDescent="0.25">
      <c r="A123" s="1">
        <v>81</v>
      </c>
      <c r="B123" s="33"/>
      <c r="C123" s="66">
        <v>43441337</v>
      </c>
      <c r="D123" s="146">
        <v>58.4</v>
      </c>
      <c r="E123" s="5">
        <v>21.597999999999999</v>
      </c>
      <c r="F123" s="5">
        <v>21.597999999999999</v>
      </c>
      <c r="G123" s="5"/>
      <c r="H123" s="16">
        <f>G123*0.8598</f>
        <v>0</v>
      </c>
      <c r="I123" s="16">
        <f>((D123*0.015)*12)/7</f>
        <v>1.5017142857142858</v>
      </c>
      <c r="J123" s="16"/>
      <c r="K123" s="19">
        <f t="shared" si="18"/>
        <v>1.5017142857142858</v>
      </c>
      <c r="M123" s="13" t="s">
        <v>71</v>
      </c>
      <c r="O123" s="24"/>
    </row>
    <row r="124" spans="1:15" x14ac:dyDescent="0.25">
      <c r="A124" s="1">
        <v>82</v>
      </c>
      <c r="B124" s="48">
        <v>45937</v>
      </c>
      <c r="C124" s="66">
        <v>43441334</v>
      </c>
      <c r="D124" s="146">
        <v>76.400000000000006</v>
      </c>
      <c r="E124" s="5">
        <v>31.844000000000001</v>
      </c>
      <c r="F124" s="5">
        <v>31.844000000000001</v>
      </c>
      <c r="G124" s="5">
        <f>F124-E124</f>
        <v>0</v>
      </c>
      <c r="H124" s="16">
        <f t="shared" ref="H124:H151" si="19">G124*0.8598</f>
        <v>0</v>
      </c>
      <c r="I124" s="16"/>
      <c r="J124" s="16">
        <f>D124/($E$18-$E$19)*$J$17</f>
        <v>0.40478693067183513</v>
      </c>
      <c r="K124" s="19">
        <f t="shared" si="18"/>
        <v>0.40478693067183513</v>
      </c>
      <c r="M124" s="13" t="s">
        <v>69</v>
      </c>
    </row>
    <row r="125" spans="1:15" x14ac:dyDescent="0.25">
      <c r="A125" s="1">
        <v>83</v>
      </c>
      <c r="B125" s="47">
        <v>45847</v>
      </c>
      <c r="C125" s="66">
        <v>43441340</v>
      </c>
      <c r="D125" s="146">
        <v>85.5</v>
      </c>
      <c r="E125" s="5">
        <v>58.13</v>
      </c>
      <c r="F125" s="5">
        <v>59.543999999999997</v>
      </c>
      <c r="G125" s="5">
        <f>F125-E125</f>
        <v>1.4139999999999944</v>
      </c>
      <c r="H125" s="16">
        <f t="shared" si="19"/>
        <v>1.2157571999999952</v>
      </c>
      <c r="I125" s="19"/>
      <c r="J125" s="16">
        <f>D125/($E$18-$E$19)*$J$17</f>
        <v>0.45300108079112439</v>
      </c>
      <c r="K125" s="19">
        <f t="shared" si="18"/>
        <v>1.6687582807911197</v>
      </c>
      <c r="M125" s="13" t="s">
        <v>69</v>
      </c>
    </row>
    <row r="126" spans="1:15" x14ac:dyDescent="0.25">
      <c r="A126" s="1">
        <v>84</v>
      </c>
      <c r="B126" s="33"/>
      <c r="C126" s="66">
        <v>43441326</v>
      </c>
      <c r="D126" s="146">
        <v>58.6</v>
      </c>
      <c r="E126" s="5">
        <v>6.2569999999999997</v>
      </c>
      <c r="F126" s="5">
        <v>6.2569999999999997</v>
      </c>
      <c r="G126" s="5"/>
      <c r="H126" s="16">
        <f t="shared" si="19"/>
        <v>0</v>
      </c>
      <c r="I126" s="16">
        <f>((D126*0.015)*12)/7</f>
        <v>1.5068571428571429</v>
      </c>
      <c r="J126" s="16"/>
      <c r="K126" s="19">
        <f t="shared" si="18"/>
        <v>1.5068571428571429</v>
      </c>
      <c r="M126" s="13" t="s">
        <v>71</v>
      </c>
    </row>
    <row r="127" spans="1:15" x14ac:dyDescent="0.25">
      <c r="A127" s="1">
        <v>85</v>
      </c>
      <c r="B127" s="33"/>
      <c r="C127" s="66">
        <v>43441323</v>
      </c>
      <c r="D127" s="146">
        <v>59.6</v>
      </c>
      <c r="E127" s="5">
        <v>28.510999999999999</v>
      </c>
      <c r="F127" s="5">
        <v>29.457000000000001</v>
      </c>
      <c r="G127" s="5"/>
      <c r="H127" s="16">
        <f t="shared" si="19"/>
        <v>0</v>
      </c>
      <c r="I127" s="16">
        <f>((D127*0.015)*12)/7</f>
        <v>1.5325714285714285</v>
      </c>
      <c r="J127" s="16"/>
      <c r="K127" s="19">
        <f t="shared" si="18"/>
        <v>1.5325714285714285</v>
      </c>
      <c r="M127" s="13" t="s">
        <v>71</v>
      </c>
    </row>
    <row r="128" spans="1:15" x14ac:dyDescent="0.25">
      <c r="A128" s="1">
        <v>86</v>
      </c>
      <c r="B128" s="48">
        <v>45674</v>
      </c>
      <c r="C128" s="66">
        <v>43441329</v>
      </c>
      <c r="D128" s="146">
        <v>76.5</v>
      </c>
      <c r="E128" s="5">
        <v>7.9989999999999997</v>
      </c>
      <c r="F128" s="5">
        <v>8.0090000000000003</v>
      </c>
      <c r="G128" s="5">
        <f>F128-E128</f>
        <v>1.0000000000000675E-2</v>
      </c>
      <c r="H128" s="16">
        <f>G128*0.8598</f>
        <v>8.5980000000005809E-3</v>
      </c>
      <c r="I128" s="16"/>
      <c r="J128" s="16">
        <f>D128/($E$18-$E$19)*$J$17</f>
        <v>0.4053167564973218</v>
      </c>
      <c r="K128" s="19">
        <f>H128+I128+J128</f>
        <v>0.4139147564973224</v>
      </c>
      <c r="M128" s="13" t="s">
        <v>69</v>
      </c>
    </row>
    <row r="129" spans="1:13" x14ac:dyDescent="0.25">
      <c r="A129" s="1">
        <v>87</v>
      </c>
      <c r="B129" s="33"/>
      <c r="C129" s="66">
        <v>43441330</v>
      </c>
      <c r="D129" s="146">
        <v>85.1</v>
      </c>
      <c r="E129" s="5">
        <v>53.182000000000002</v>
      </c>
      <c r="F129" s="5">
        <v>54.47</v>
      </c>
      <c r="G129" s="5"/>
      <c r="H129" s="16">
        <f t="shared" si="19"/>
        <v>0</v>
      </c>
      <c r="I129" s="16">
        <f>((D129*0.015)*12)/7</f>
        <v>2.1882857142857142</v>
      </c>
      <c r="J129" s="16"/>
      <c r="K129" s="19">
        <f t="shared" si="18"/>
        <v>2.1882857142857142</v>
      </c>
      <c r="M129" s="13" t="s">
        <v>71</v>
      </c>
    </row>
    <row r="130" spans="1:13" x14ac:dyDescent="0.25">
      <c r="A130" s="1">
        <v>88</v>
      </c>
      <c r="B130" s="47">
        <v>45914</v>
      </c>
      <c r="C130" s="66">
        <v>43441327</v>
      </c>
      <c r="D130" s="146">
        <v>58.4</v>
      </c>
      <c r="E130" s="5">
        <v>28.501000000000001</v>
      </c>
      <c r="F130" s="5">
        <v>29.242000000000001</v>
      </c>
      <c r="G130" s="5">
        <f>F130-E130</f>
        <v>0.74099999999999966</v>
      </c>
      <c r="H130" s="16">
        <f t="shared" si="19"/>
        <v>0.63711179999999967</v>
      </c>
      <c r="I130" s="19"/>
      <c r="J130" s="16">
        <f>D130/($E$18-$E$19)*$J$17</f>
        <v>0.30941828208423</v>
      </c>
      <c r="K130" s="19">
        <f t="shared" si="18"/>
        <v>0.94653008208422973</v>
      </c>
      <c r="M130" s="13" t="s">
        <v>69</v>
      </c>
    </row>
    <row r="131" spans="1:13" x14ac:dyDescent="0.25">
      <c r="A131" s="1">
        <v>89</v>
      </c>
      <c r="B131" s="47">
        <v>45889</v>
      </c>
      <c r="C131" s="66">
        <v>43441324</v>
      </c>
      <c r="D131" s="146">
        <v>58.7</v>
      </c>
      <c r="E131" s="5">
        <v>30.814</v>
      </c>
      <c r="F131" s="5">
        <v>32.4</v>
      </c>
      <c r="G131" s="5">
        <f>F131-E131</f>
        <v>1.5859999999999985</v>
      </c>
      <c r="H131" s="16">
        <f t="shared" si="19"/>
        <v>1.3636427999999987</v>
      </c>
      <c r="I131" s="19"/>
      <c r="J131" s="16">
        <f>D131/($E$18-$E$19)*$J$17</f>
        <v>0.3110077595606901</v>
      </c>
      <c r="K131" s="19">
        <f t="shared" si="18"/>
        <v>1.6746505595606889</v>
      </c>
      <c r="M131" s="13" t="s">
        <v>69</v>
      </c>
    </row>
    <row r="132" spans="1:13" x14ac:dyDescent="0.25">
      <c r="A132" s="1">
        <v>90</v>
      </c>
      <c r="B132" s="33"/>
      <c r="C132" s="66">
        <v>43441325</v>
      </c>
      <c r="D132" s="146">
        <v>77.7</v>
      </c>
      <c r="E132" s="5">
        <v>37.279000000000003</v>
      </c>
      <c r="F132" s="5">
        <v>38.664999999999999</v>
      </c>
      <c r="G132" s="5"/>
      <c r="H132" s="16">
        <f t="shared" si="19"/>
        <v>0</v>
      </c>
      <c r="I132" s="16">
        <f>((D132*0.015)*12)/7</f>
        <v>1.998</v>
      </c>
      <c r="J132" s="16"/>
      <c r="K132" s="19">
        <f t="shared" si="18"/>
        <v>1.998</v>
      </c>
      <c r="M132" s="13" t="s">
        <v>71</v>
      </c>
    </row>
    <row r="133" spans="1:13" x14ac:dyDescent="0.25">
      <c r="A133" s="1">
        <v>91</v>
      </c>
      <c r="B133" s="47">
        <v>45756</v>
      </c>
      <c r="C133" s="66">
        <v>43441328</v>
      </c>
      <c r="D133" s="146">
        <v>85.3</v>
      </c>
      <c r="E133" s="5">
        <v>16.895</v>
      </c>
      <c r="F133" s="5">
        <v>17.184000000000001</v>
      </c>
      <c r="G133" s="5">
        <f>F133-E133</f>
        <v>0.28900000000000148</v>
      </c>
      <c r="H133" s="16">
        <f t="shared" si="19"/>
        <v>0.24848220000000126</v>
      </c>
      <c r="I133" s="16"/>
      <c r="J133" s="16">
        <f>D133/($E$18-$E$19)*$J$17</f>
        <v>0.45194142914015101</v>
      </c>
      <c r="K133" s="19">
        <f t="shared" si="18"/>
        <v>0.70042362914015222</v>
      </c>
      <c r="M133" s="13" t="s">
        <v>69</v>
      </c>
    </row>
    <row r="134" spans="1:13" x14ac:dyDescent="0.25">
      <c r="A134" s="1">
        <v>92</v>
      </c>
      <c r="B134" s="47">
        <v>45900</v>
      </c>
      <c r="C134" s="66">
        <v>43441331</v>
      </c>
      <c r="D134" s="146">
        <v>58.5</v>
      </c>
      <c r="E134" s="5">
        <v>40.572000000000003</v>
      </c>
      <c r="F134" s="5">
        <v>41.411000000000001</v>
      </c>
      <c r="G134" s="5">
        <f>F134-E134</f>
        <v>0.83899999999999864</v>
      </c>
      <c r="H134" s="16">
        <f t="shared" si="19"/>
        <v>0.7213721999999988</v>
      </c>
      <c r="I134" s="19"/>
      <c r="J134" s="16">
        <f>D134/($E$18-$E$19)*$J$17</f>
        <v>0.30994810790971672</v>
      </c>
      <c r="K134" s="19">
        <f t="shared" si="18"/>
        <v>1.0313203079097155</v>
      </c>
      <c r="M134" s="13" t="s">
        <v>69</v>
      </c>
    </row>
    <row r="135" spans="1:13" x14ac:dyDescent="0.25">
      <c r="A135" s="1">
        <v>93</v>
      </c>
      <c r="B135" s="47">
        <v>45912</v>
      </c>
      <c r="C135" s="66">
        <v>34242164</v>
      </c>
      <c r="D135" s="146">
        <v>59.3</v>
      </c>
      <c r="E135" s="5">
        <v>22.619</v>
      </c>
      <c r="F135" s="5">
        <v>22.619</v>
      </c>
      <c r="G135" s="5">
        <f>F135-E135</f>
        <v>0</v>
      </c>
      <c r="H135" s="16">
        <f t="shared" si="19"/>
        <v>0</v>
      </c>
      <c r="I135" s="19"/>
      <c r="J135" s="16">
        <f>D135/($E$18-$E$19)*$J$17</f>
        <v>0.31418671451361024</v>
      </c>
      <c r="K135" s="19">
        <f t="shared" si="18"/>
        <v>0.31418671451361024</v>
      </c>
      <c r="M135" s="13" t="s">
        <v>69</v>
      </c>
    </row>
    <row r="136" spans="1:13" x14ac:dyDescent="0.25">
      <c r="A136" s="1">
        <v>94</v>
      </c>
      <c r="B136" s="47">
        <v>46052</v>
      </c>
      <c r="C136" s="66">
        <v>34242158</v>
      </c>
      <c r="D136" s="146">
        <v>76.8</v>
      </c>
      <c r="E136" s="5">
        <v>33.249000000000002</v>
      </c>
      <c r="F136" s="5">
        <v>34.213000000000001</v>
      </c>
      <c r="G136" s="5">
        <f>F136-E136</f>
        <v>0.96399999999999864</v>
      </c>
      <c r="H136" s="16">
        <f>G136*0.8598</f>
        <v>0.82884719999999878</v>
      </c>
      <c r="I136" s="16"/>
      <c r="J136" s="16">
        <f>D136/($E$18-$E$19)*$J$17</f>
        <v>0.40690623397378189</v>
      </c>
      <c r="K136" s="19">
        <f t="shared" si="18"/>
        <v>1.2357534339737808</v>
      </c>
      <c r="M136" s="13" t="s">
        <v>69</v>
      </c>
    </row>
    <row r="137" spans="1:13" x14ac:dyDescent="0.25">
      <c r="A137" s="1">
        <v>95</v>
      </c>
      <c r="B137" s="33"/>
      <c r="C137" s="66">
        <v>34242124</v>
      </c>
      <c r="D137" s="146">
        <v>85.2</v>
      </c>
      <c r="E137" s="5">
        <v>54.19</v>
      </c>
      <c r="F137" s="5">
        <v>55.759</v>
      </c>
      <c r="G137" s="5"/>
      <c r="H137" s="16">
        <f t="shared" si="19"/>
        <v>0</v>
      </c>
      <c r="I137" s="16">
        <f>((D137*0.015)*12)/7</f>
        <v>2.1908571428571428</v>
      </c>
      <c r="J137" s="16"/>
      <c r="K137" s="19">
        <f t="shared" si="18"/>
        <v>2.1908571428571428</v>
      </c>
      <c r="M137" s="13" t="s">
        <v>71</v>
      </c>
    </row>
    <row r="138" spans="1:13" x14ac:dyDescent="0.25">
      <c r="A138" s="1">
        <v>96</v>
      </c>
      <c r="B138" s="47">
        <v>45767</v>
      </c>
      <c r="C138" s="66">
        <v>34242122</v>
      </c>
      <c r="D138" s="146">
        <v>58.1</v>
      </c>
      <c r="E138" s="5">
        <v>23.369</v>
      </c>
      <c r="F138" s="5">
        <v>24.861999999999998</v>
      </c>
      <c r="G138" s="5">
        <f>F138-E138</f>
        <v>1.4929999999999986</v>
      </c>
      <c r="H138" s="16">
        <f>G138*0.8598</f>
        <v>1.2836813999999988</v>
      </c>
      <c r="I138" s="19"/>
      <c r="J138" s="16">
        <f>D138/($E$18-$E$19)*$J$17</f>
        <v>0.3078288046077699</v>
      </c>
      <c r="K138" s="19">
        <f t="shared" si="18"/>
        <v>1.5915102046077687</v>
      </c>
      <c r="M138" s="13" t="s">
        <v>69</v>
      </c>
    </row>
    <row r="139" spans="1:13" x14ac:dyDescent="0.25">
      <c r="A139" s="1">
        <v>97</v>
      </c>
      <c r="B139" s="33"/>
      <c r="C139" s="66">
        <v>34242128</v>
      </c>
      <c r="D139" s="146">
        <v>57.5</v>
      </c>
      <c r="E139" s="5">
        <v>45.844999999999999</v>
      </c>
      <c r="F139" s="5">
        <v>47.197000000000003</v>
      </c>
      <c r="G139" s="5"/>
      <c r="H139" s="16">
        <f t="shared" si="19"/>
        <v>0</v>
      </c>
      <c r="I139" s="16">
        <f>((D139*0.015)*12)/7</f>
        <v>1.4785714285714284</v>
      </c>
      <c r="J139" s="16"/>
      <c r="K139" s="19">
        <f t="shared" si="18"/>
        <v>1.4785714285714284</v>
      </c>
      <c r="M139" s="13" t="s">
        <v>71</v>
      </c>
    </row>
    <row r="140" spans="1:13" x14ac:dyDescent="0.25">
      <c r="A140" s="1">
        <v>98</v>
      </c>
      <c r="B140" s="47" t="s">
        <v>59</v>
      </c>
      <c r="C140" s="66" t="s">
        <v>110</v>
      </c>
      <c r="D140" s="146">
        <v>77</v>
      </c>
      <c r="E140" s="39">
        <v>3.0739999999999998</v>
      </c>
      <c r="F140" s="39">
        <v>3.8481000000000001</v>
      </c>
      <c r="G140" s="5"/>
      <c r="H140" s="16">
        <f>F140-E140</f>
        <v>0.77410000000000023</v>
      </c>
      <c r="I140" s="16"/>
      <c r="J140" s="16">
        <f t="shared" ref="J140:J146" si="20">D140/($E$18-$E$19)*$J$17</f>
        <v>0.40796588562475528</v>
      </c>
      <c r="K140" s="19">
        <f t="shared" si="18"/>
        <v>1.1820658856247555</v>
      </c>
      <c r="M140" s="13" t="s">
        <v>69</v>
      </c>
    </row>
    <row r="141" spans="1:13" x14ac:dyDescent="0.25">
      <c r="A141" s="1">
        <v>99</v>
      </c>
      <c r="B141" s="47">
        <v>45767</v>
      </c>
      <c r="C141" s="66">
        <v>34242441</v>
      </c>
      <c r="D141" s="146">
        <v>85.4</v>
      </c>
      <c r="E141" s="5">
        <v>13.664</v>
      </c>
      <c r="F141" s="5">
        <v>13.664</v>
      </c>
      <c r="G141" s="5">
        <f>F141-E141</f>
        <v>0</v>
      </c>
      <c r="H141" s="16">
        <f t="shared" ref="H141:H142" si="21">G141*0.8598</f>
        <v>0</v>
      </c>
      <c r="I141" s="16"/>
      <c r="J141" s="16">
        <f t="shared" si="20"/>
        <v>0.45247125496563773</v>
      </c>
      <c r="K141" s="19">
        <f t="shared" si="18"/>
        <v>0.45247125496563773</v>
      </c>
      <c r="M141" s="13" t="s">
        <v>69</v>
      </c>
    </row>
    <row r="142" spans="1:13" x14ac:dyDescent="0.25">
      <c r="A142" s="1">
        <v>100</v>
      </c>
      <c r="B142" s="47">
        <v>45585</v>
      </c>
      <c r="C142" s="66">
        <v>34242395</v>
      </c>
      <c r="D142" s="146">
        <v>58.2</v>
      </c>
      <c r="E142" s="5">
        <v>28.53</v>
      </c>
      <c r="F142" s="5">
        <v>28.568999999999999</v>
      </c>
      <c r="G142" s="5">
        <f>F142-E142</f>
        <v>3.8999999999997925E-2</v>
      </c>
      <c r="H142" s="16">
        <f t="shared" si="21"/>
        <v>3.3532199999998215E-2</v>
      </c>
      <c r="I142" s="19"/>
      <c r="J142" s="16">
        <f t="shared" si="20"/>
        <v>0.30835863043325662</v>
      </c>
      <c r="K142" s="19">
        <f t="shared" si="18"/>
        <v>0.34189083043325486</v>
      </c>
      <c r="M142" s="13" t="s">
        <v>69</v>
      </c>
    </row>
    <row r="143" spans="1:13" x14ac:dyDescent="0.25">
      <c r="A143" s="1">
        <v>101</v>
      </c>
      <c r="B143" s="47">
        <v>45459</v>
      </c>
      <c r="C143" s="10" t="s">
        <v>96</v>
      </c>
      <c r="D143" s="146">
        <v>59</v>
      </c>
      <c r="E143" s="39">
        <v>0.12859999999999999</v>
      </c>
      <c r="F143" s="39">
        <v>0.1406</v>
      </c>
      <c r="G143" s="5"/>
      <c r="H143" s="16">
        <f>F143-E143</f>
        <v>1.2000000000000011E-2</v>
      </c>
      <c r="I143" s="16"/>
      <c r="J143" s="16">
        <f t="shared" si="20"/>
        <v>0.31259723703715014</v>
      </c>
      <c r="K143" s="19">
        <f t="shared" si="18"/>
        <v>0.32459723703715015</v>
      </c>
      <c r="M143" s="13" t="s">
        <v>69</v>
      </c>
    </row>
    <row r="144" spans="1:13" x14ac:dyDescent="0.25">
      <c r="A144" s="1">
        <v>102</v>
      </c>
      <c r="B144" s="47">
        <v>45809</v>
      </c>
      <c r="C144" s="66">
        <v>34242123</v>
      </c>
      <c r="D144" s="146">
        <v>77.599999999999994</v>
      </c>
      <c r="E144" s="5">
        <v>18.568000000000001</v>
      </c>
      <c r="F144" s="5">
        <v>18.891999999999999</v>
      </c>
      <c r="G144" s="5">
        <f>F144-E144</f>
        <v>0.32399999999999807</v>
      </c>
      <c r="H144" s="16">
        <f>G144*0.8598</f>
        <v>0.27857519999999836</v>
      </c>
      <c r="I144" s="19"/>
      <c r="J144" s="16">
        <f t="shared" si="20"/>
        <v>0.41114484057767542</v>
      </c>
      <c r="K144" s="19">
        <f t="shared" si="18"/>
        <v>0.68972004057767378</v>
      </c>
      <c r="M144" s="13" t="s">
        <v>69</v>
      </c>
    </row>
    <row r="145" spans="1:14" x14ac:dyDescent="0.25">
      <c r="A145" s="1">
        <v>103</v>
      </c>
      <c r="B145" s="47">
        <v>45327</v>
      </c>
      <c r="C145" s="10" t="s">
        <v>97</v>
      </c>
      <c r="D145" s="146">
        <v>85.4</v>
      </c>
      <c r="E145" s="5">
        <v>9.7070000000000007</v>
      </c>
      <c r="F145" s="5">
        <f>9.707+0.6405</f>
        <v>10.3475</v>
      </c>
      <c r="G145" s="5"/>
      <c r="H145" s="16">
        <f>F145-E145</f>
        <v>0.6404999999999994</v>
      </c>
      <c r="I145" s="16"/>
      <c r="J145" s="16">
        <f t="shared" si="20"/>
        <v>0.45247125496563773</v>
      </c>
      <c r="K145" s="19">
        <f>H145+I145+J145</f>
        <v>1.0929712549656372</v>
      </c>
      <c r="M145" s="13" t="s">
        <v>69</v>
      </c>
    </row>
    <row r="146" spans="1:14" x14ac:dyDescent="0.25">
      <c r="A146" s="1">
        <v>104</v>
      </c>
      <c r="B146" s="73">
        <v>45951</v>
      </c>
      <c r="C146" s="70">
        <v>43242242</v>
      </c>
      <c r="D146" s="146">
        <v>58.8</v>
      </c>
      <c r="E146" s="5">
        <v>42.843000000000004</v>
      </c>
      <c r="F146" s="5">
        <f>42.843+0.441</f>
        <v>43.284000000000006</v>
      </c>
      <c r="G146" s="5">
        <f>F146-E146</f>
        <v>0.4410000000000025</v>
      </c>
      <c r="H146" s="16">
        <f>G146*0.8598</f>
        <v>0.37917180000000217</v>
      </c>
      <c r="I146" s="16"/>
      <c r="J146" s="16">
        <f t="shared" si="20"/>
        <v>0.31153758538617676</v>
      </c>
      <c r="K146" s="19">
        <f t="shared" si="18"/>
        <v>0.69070938538617899</v>
      </c>
      <c r="M146" s="13" t="s">
        <v>69</v>
      </c>
    </row>
    <row r="147" spans="1:14" x14ac:dyDescent="0.25">
      <c r="A147" s="1">
        <v>105</v>
      </c>
      <c r="B147" s="34"/>
      <c r="C147" s="66">
        <v>34242113</v>
      </c>
      <c r="D147" s="146">
        <v>59.2</v>
      </c>
      <c r="E147" s="5">
        <v>31.309000000000001</v>
      </c>
      <c r="F147" s="5">
        <v>31.309000000000001</v>
      </c>
      <c r="G147" s="5"/>
      <c r="H147" s="16">
        <f t="shared" si="19"/>
        <v>0</v>
      </c>
      <c r="I147" s="16">
        <f>((D147*0.015)*12)/7</f>
        <v>1.5222857142857145</v>
      </c>
      <c r="J147" s="16"/>
      <c r="K147" s="19">
        <f t="shared" si="18"/>
        <v>1.5222857142857145</v>
      </c>
      <c r="M147" s="13" t="s">
        <v>71</v>
      </c>
      <c r="N147" s="12"/>
    </row>
    <row r="148" spans="1:14" x14ac:dyDescent="0.25">
      <c r="A148" s="1">
        <v>106</v>
      </c>
      <c r="B148" s="47">
        <v>45703</v>
      </c>
      <c r="C148" s="67">
        <v>34242119</v>
      </c>
      <c r="D148" s="146">
        <v>76.8</v>
      </c>
      <c r="E148" s="5">
        <v>51.860999999999997</v>
      </c>
      <c r="F148" s="5">
        <v>53.085000000000001</v>
      </c>
      <c r="G148" s="5">
        <f>F148-E148</f>
        <v>1.2240000000000038</v>
      </c>
      <c r="H148" s="16">
        <f>G148*0.8598</f>
        <v>1.0523952000000032</v>
      </c>
      <c r="I148" s="19"/>
      <c r="J148" s="16">
        <f>D148/($E$18-$E$19)*$J$17</f>
        <v>0.40690623397378189</v>
      </c>
      <c r="K148" s="19">
        <f t="shared" si="18"/>
        <v>1.4593014339737851</v>
      </c>
      <c r="L148" s="24"/>
      <c r="M148" s="13" t="s">
        <v>69</v>
      </c>
    </row>
    <row r="149" spans="1:14" x14ac:dyDescent="0.25">
      <c r="A149" s="1">
        <v>107</v>
      </c>
      <c r="B149" s="33"/>
      <c r="C149" s="66">
        <v>34242112</v>
      </c>
      <c r="D149" s="146">
        <v>85.1</v>
      </c>
      <c r="E149" s="5">
        <v>47.066000000000003</v>
      </c>
      <c r="F149" s="5">
        <v>48.244</v>
      </c>
      <c r="G149" s="5"/>
      <c r="H149" s="16">
        <f t="shared" si="19"/>
        <v>0</v>
      </c>
      <c r="I149" s="16">
        <f>((D149*0.015)*12)/7</f>
        <v>2.1882857142857142</v>
      </c>
      <c r="J149" s="16"/>
      <c r="K149" s="19">
        <f t="shared" si="18"/>
        <v>2.1882857142857142</v>
      </c>
      <c r="M149" s="13" t="s">
        <v>71</v>
      </c>
    </row>
    <row r="150" spans="1:14" x14ac:dyDescent="0.25">
      <c r="A150" s="1">
        <v>108</v>
      </c>
      <c r="B150" s="47">
        <v>45718</v>
      </c>
      <c r="C150" s="66">
        <v>34242115</v>
      </c>
      <c r="D150" s="146">
        <v>58.5</v>
      </c>
      <c r="E150" s="5">
        <v>17.068999999999999</v>
      </c>
      <c r="F150" s="5">
        <v>17.07</v>
      </c>
      <c r="G150" s="5">
        <f>F150-E150</f>
        <v>1.0000000000012221E-3</v>
      </c>
      <c r="H150" s="16">
        <f t="shared" si="19"/>
        <v>8.5980000000105078E-4</v>
      </c>
      <c r="I150" s="16"/>
      <c r="J150" s="16">
        <f t="shared" ref="J150:J157" si="22">D150/($E$18-$E$19)*$J$17</f>
        <v>0.30994810790971672</v>
      </c>
      <c r="K150" s="19">
        <f t="shared" si="18"/>
        <v>0.3108079079097178</v>
      </c>
      <c r="L150" s="24"/>
      <c r="M150" s="13" t="s">
        <v>69</v>
      </c>
    </row>
    <row r="151" spans="1:14" x14ac:dyDescent="0.25">
      <c r="A151" s="1">
        <v>109</v>
      </c>
      <c r="B151" s="47">
        <v>45641</v>
      </c>
      <c r="C151" s="66">
        <v>34242118</v>
      </c>
      <c r="D151" s="146">
        <v>59.1</v>
      </c>
      <c r="E151" s="5">
        <v>42.12</v>
      </c>
      <c r="F151" s="5">
        <v>42.991999999999997</v>
      </c>
      <c r="G151" s="5">
        <f>F151-E151</f>
        <v>0.87199999999999989</v>
      </c>
      <c r="H151" s="16">
        <f t="shared" si="19"/>
        <v>0.7497455999999999</v>
      </c>
      <c r="I151" s="19"/>
      <c r="J151" s="16">
        <f t="shared" si="22"/>
        <v>0.31312706286263686</v>
      </c>
      <c r="K151" s="19">
        <f t="shared" si="18"/>
        <v>1.0628726628626368</v>
      </c>
      <c r="M151" s="13" t="s">
        <v>69</v>
      </c>
    </row>
    <row r="152" spans="1:14" x14ac:dyDescent="0.25">
      <c r="A152" s="1">
        <v>110</v>
      </c>
      <c r="B152" s="47">
        <v>45955</v>
      </c>
      <c r="C152" s="66" t="s">
        <v>111</v>
      </c>
      <c r="D152" s="146">
        <v>77.099999999999994</v>
      </c>
      <c r="E152" s="39">
        <v>1.7474000000000001</v>
      </c>
      <c r="F152" s="39">
        <v>2.1234000000000002</v>
      </c>
      <c r="G152" s="5"/>
      <c r="H152" s="16">
        <f t="shared" ref="H152:H153" si="23">F152-E152</f>
        <v>0.37600000000000011</v>
      </c>
      <c r="I152" s="16"/>
      <c r="J152" s="16">
        <f t="shared" si="22"/>
        <v>0.40849571145024194</v>
      </c>
      <c r="K152" s="19">
        <f t="shared" si="18"/>
        <v>0.78449571145024199</v>
      </c>
      <c r="M152" s="13" t="s">
        <v>69</v>
      </c>
    </row>
    <row r="153" spans="1:14" x14ac:dyDescent="0.25">
      <c r="A153" s="1">
        <v>111</v>
      </c>
      <c r="B153" s="47">
        <v>45327</v>
      </c>
      <c r="C153" s="10" t="s">
        <v>58</v>
      </c>
      <c r="D153" s="146">
        <v>85.1</v>
      </c>
      <c r="E153" s="39">
        <v>8.2490000000000006</v>
      </c>
      <c r="F153" s="39">
        <v>8.7609999999999992</v>
      </c>
      <c r="G153" s="39"/>
      <c r="H153" s="16">
        <f t="shared" si="23"/>
        <v>0.51199999999999868</v>
      </c>
      <c r="I153" s="19"/>
      <c r="J153" s="16">
        <f t="shared" si="22"/>
        <v>0.45088177748917757</v>
      </c>
      <c r="K153" s="19">
        <f t="shared" si="18"/>
        <v>0.96288177748917625</v>
      </c>
      <c r="M153" s="13" t="s">
        <v>69</v>
      </c>
    </row>
    <row r="154" spans="1:14" x14ac:dyDescent="0.25">
      <c r="A154" s="1">
        <v>112</v>
      </c>
      <c r="B154" s="47">
        <v>45622</v>
      </c>
      <c r="C154" s="66">
        <v>34242117</v>
      </c>
      <c r="D154" s="146">
        <v>57.5</v>
      </c>
      <c r="E154" s="5">
        <v>24.488</v>
      </c>
      <c r="F154" s="5">
        <v>21.783999999999999</v>
      </c>
      <c r="G154" s="5">
        <f>F154-E154</f>
        <v>-2.7040000000000006</v>
      </c>
      <c r="H154" s="16">
        <f t="shared" ref="H154:H182" si="24">G154*0.8598</f>
        <v>-2.3248992000000004</v>
      </c>
      <c r="I154" s="19"/>
      <c r="J154" s="16">
        <f t="shared" si="22"/>
        <v>0.30464984965484976</v>
      </c>
      <c r="K154" s="19">
        <f t="shared" si="18"/>
        <v>-2.0202493503451509</v>
      </c>
      <c r="M154" s="13" t="s">
        <v>69</v>
      </c>
    </row>
    <row r="155" spans="1:14" x14ac:dyDescent="0.25">
      <c r="A155" s="1">
        <v>113</v>
      </c>
      <c r="B155" s="47">
        <v>45957</v>
      </c>
      <c r="C155" s="66">
        <v>34242125</v>
      </c>
      <c r="D155" s="146">
        <v>58.9</v>
      </c>
      <c r="E155" s="5">
        <v>22.286000000000001</v>
      </c>
      <c r="F155" s="5">
        <v>22.931999999999999</v>
      </c>
      <c r="G155" s="5">
        <f>F155-E155</f>
        <v>0.64599999999999724</v>
      </c>
      <c r="H155" s="16">
        <f t="shared" si="24"/>
        <v>0.55543079999999767</v>
      </c>
      <c r="I155" s="16"/>
      <c r="J155" s="16">
        <f t="shared" si="22"/>
        <v>0.31206741121166343</v>
      </c>
      <c r="K155" s="19">
        <f t="shared" si="18"/>
        <v>0.86749821121166115</v>
      </c>
      <c r="M155" s="13" t="s">
        <v>69</v>
      </c>
    </row>
    <row r="156" spans="1:14" x14ac:dyDescent="0.25">
      <c r="A156" s="1">
        <v>114</v>
      </c>
      <c r="B156" s="48">
        <v>45875</v>
      </c>
      <c r="C156" s="66">
        <v>34242154</v>
      </c>
      <c r="D156" s="146">
        <v>77.099999999999994</v>
      </c>
      <c r="E156" s="5">
        <v>6.444</v>
      </c>
      <c r="F156" s="5">
        <v>6.444</v>
      </c>
      <c r="G156" s="5">
        <f>F156-E156</f>
        <v>0</v>
      </c>
      <c r="H156" s="16">
        <f t="shared" si="24"/>
        <v>0</v>
      </c>
      <c r="I156" s="16"/>
      <c r="J156" s="16">
        <f t="shared" si="22"/>
        <v>0.40849571145024194</v>
      </c>
      <c r="K156" s="19">
        <f t="shared" si="18"/>
        <v>0.40849571145024194</v>
      </c>
      <c r="M156" s="13" t="s">
        <v>69</v>
      </c>
    </row>
    <row r="157" spans="1:14" x14ac:dyDescent="0.25">
      <c r="A157" s="1">
        <v>115</v>
      </c>
      <c r="B157" s="47">
        <v>45912</v>
      </c>
      <c r="C157" s="66">
        <v>34242149</v>
      </c>
      <c r="D157" s="146">
        <v>85.3</v>
      </c>
      <c r="E157" s="5">
        <v>34.527000000000001</v>
      </c>
      <c r="F157" s="5">
        <v>35.110999999999997</v>
      </c>
      <c r="G157" s="5">
        <f>F157-E157</f>
        <v>0.58399999999999608</v>
      </c>
      <c r="H157" s="16">
        <f t="shared" si="24"/>
        <v>0.50212319999999666</v>
      </c>
      <c r="I157" s="19"/>
      <c r="J157" s="16">
        <f t="shared" si="22"/>
        <v>0.45194142914015101</v>
      </c>
      <c r="K157" s="19">
        <f t="shared" si="18"/>
        <v>0.95406462914014767</v>
      </c>
      <c r="M157" s="13" t="s">
        <v>69</v>
      </c>
    </row>
    <row r="158" spans="1:14" x14ac:dyDescent="0.25">
      <c r="A158" s="1">
        <v>116</v>
      </c>
      <c r="B158" s="33"/>
      <c r="C158" s="66">
        <v>34242157</v>
      </c>
      <c r="D158" s="146">
        <v>59.6</v>
      </c>
      <c r="E158" s="5">
        <v>25.271000000000001</v>
      </c>
      <c r="F158" s="5">
        <v>26.629000000000001</v>
      </c>
      <c r="G158" s="5"/>
      <c r="H158" s="16">
        <f t="shared" si="24"/>
        <v>0</v>
      </c>
      <c r="I158" s="16">
        <f>((D158*0.015)*12)/7</f>
        <v>1.5325714285714285</v>
      </c>
      <c r="J158" s="16"/>
      <c r="K158" s="19">
        <f t="shared" si="18"/>
        <v>1.5325714285714285</v>
      </c>
      <c r="M158" s="13" t="s">
        <v>71</v>
      </c>
    </row>
    <row r="159" spans="1:14" x14ac:dyDescent="0.25">
      <c r="A159" s="1">
        <v>117</v>
      </c>
      <c r="B159" s="47">
        <v>45732</v>
      </c>
      <c r="C159" s="66">
        <v>41341239</v>
      </c>
      <c r="D159" s="146">
        <v>59</v>
      </c>
      <c r="E159" s="5">
        <v>13.278</v>
      </c>
      <c r="F159" s="5">
        <v>13.278</v>
      </c>
      <c r="G159" s="5">
        <f>F159-E159</f>
        <v>0</v>
      </c>
      <c r="H159" s="16">
        <f t="shared" si="24"/>
        <v>0</v>
      </c>
      <c r="I159" s="19"/>
      <c r="J159" s="16">
        <f>D159/($E$18-$E$19)*$J$17</f>
        <v>0.31259723703715014</v>
      </c>
      <c r="K159" s="19">
        <f t="shared" si="18"/>
        <v>0.31259723703715014</v>
      </c>
      <c r="M159" s="13" t="s">
        <v>69</v>
      </c>
    </row>
    <row r="160" spans="1:14" x14ac:dyDescent="0.25">
      <c r="A160" s="1">
        <v>118</v>
      </c>
      <c r="B160" s="47">
        <v>45718</v>
      </c>
      <c r="C160" s="66">
        <v>34242156</v>
      </c>
      <c r="D160" s="146">
        <v>78</v>
      </c>
      <c r="E160" s="5">
        <v>10.646000000000001</v>
      </c>
      <c r="F160" s="5">
        <v>10.987</v>
      </c>
      <c r="G160" s="5">
        <f>F160-E160</f>
        <v>0.3409999999999993</v>
      </c>
      <c r="H160" s="16">
        <f t="shared" si="24"/>
        <v>0.29319179999999939</v>
      </c>
      <c r="I160" s="16"/>
      <c r="J160" s="16">
        <f>D160/($E$18-$E$19)*$J$17</f>
        <v>0.41326414387962224</v>
      </c>
      <c r="K160" s="19">
        <f t="shared" si="18"/>
        <v>0.70645594387962163</v>
      </c>
      <c r="M160" s="13" t="s">
        <v>69</v>
      </c>
    </row>
    <row r="161" spans="1:15" x14ac:dyDescent="0.25">
      <c r="A161" s="1">
        <v>119</v>
      </c>
      <c r="B161" s="47">
        <v>45755</v>
      </c>
      <c r="C161" s="66">
        <v>34242162</v>
      </c>
      <c r="D161" s="146">
        <v>85.5</v>
      </c>
      <c r="E161" s="5">
        <v>32.942999999999998</v>
      </c>
      <c r="F161" s="5">
        <v>33.378999999999998</v>
      </c>
      <c r="G161" s="5">
        <f>F161-E161</f>
        <v>0.43599999999999994</v>
      </c>
      <c r="H161" s="16">
        <f t="shared" si="24"/>
        <v>0.37487279999999995</v>
      </c>
      <c r="I161" s="19"/>
      <c r="J161" s="16">
        <f>D161/($E$18-$E$19)*$J$17</f>
        <v>0.45300108079112439</v>
      </c>
      <c r="K161" s="19">
        <f t="shared" si="18"/>
        <v>0.82787388079112434</v>
      </c>
      <c r="M161" s="13" t="s">
        <v>69</v>
      </c>
    </row>
    <row r="162" spans="1:15" x14ac:dyDescent="0.25">
      <c r="A162" s="1">
        <v>120</v>
      </c>
      <c r="B162" s="47">
        <v>45922</v>
      </c>
      <c r="C162" s="66">
        <v>20140179</v>
      </c>
      <c r="D162" s="146">
        <v>58.9</v>
      </c>
      <c r="E162" s="5">
        <v>34.427999999999997</v>
      </c>
      <c r="F162" s="5">
        <v>31.878</v>
      </c>
      <c r="G162" s="5">
        <f>F162-E162</f>
        <v>-2.5499999999999972</v>
      </c>
      <c r="H162" s="16">
        <f t="shared" si="24"/>
        <v>-2.1924899999999976</v>
      </c>
      <c r="I162" s="19"/>
      <c r="J162" s="16">
        <f>D162/($E$18-$E$19)*$J$17</f>
        <v>0.31206741121166343</v>
      </c>
      <c r="K162" s="19">
        <f t="shared" si="18"/>
        <v>-1.8804225887883341</v>
      </c>
      <c r="M162" s="13" t="s">
        <v>69</v>
      </c>
    </row>
    <row r="163" spans="1:15" x14ac:dyDescent="0.25">
      <c r="A163" s="1">
        <v>121</v>
      </c>
      <c r="B163" s="33"/>
      <c r="C163" s="66">
        <v>34242161</v>
      </c>
      <c r="D163" s="146">
        <v>59.2</v>
      </c>
      <c r="E163" s="5">
        <v>35.01</v>
      </c>
      <c r="F163" s="5">
        <v>35.777999999999999</v>
      </c>
      <c r="G163" s="5"/>
      <c r="H163" s="16">
        <f t="shared" si="24"/>
        <v>0</v>
      </c>
      <c r="I163" s="16">
        <f>((D163*0.015)*12)/7</f>
        <v>1.5222857142857145</v>
      </c>
      <c r="J163" s="16"/>
      <c r="K163" s="19">
        <f t="shared" si="18"/>
        <v>1.5222857142857145</v>
      </c>
      <c r="M163" s="13" t="s">
        <v>71</v>
      </c>
    </row>
    <row r="164" spans="1:15" x14ac:dyDescent="0.25">
      <c r="A164" s="1">
        <v>122</v>
      </c>
      <c r="B164" s="34"/>
      <c r="C164" s="66">
        <v>34242151</v>
      </c>
      <c r="D164" s="146">
        <v>78.099999999999994</v>
      </c>
      <c r="E164" s="27">
        <v>30.975999999999999</v>
      </c>
      <c r="F164" s="27">
        <v>32.244999999999997</v>
      </c>
      <c r="G164" s="5"/>
      <c r="H164" s="16">
        <f t="shared" si="24"/>
        <v>0</v>
      </c>
      <c r="I164" s="16">
        <f>((D164*0.015)*12)/7</f>
        <v>2.0082857142857136</v>
      </c>
      <c r="J164" s="16"/>
      <c r="K164" s="19">
        <f t="shared" si="18"/>
        <v>2.0082857142857136</v>
      </c>
      <c r="M164" s="13" t="s">
        <v>71</v>
      </c>
    </row>
    <row r="165" spans="1:15" x14ac:dyDescent="0.25">
      <c r="A165" s="1">
        <v>123</v>
      </c>
      <c r="B165" s="47">
        <v>45748</v>
      </c>
      <c r="C165" s="66">
        <v>34242148</v>
      </c>
      <c r="D165" s="137">
        <v>85.2</v>
      </c>
      <c r="E165" s="5">
        <v>15.144</v>
      </c>
      <c r="F165" s="5">
        <v>15.42</v>
      </c>
      <c r="G165" s="28">
        <f>F165-E165</f>
        <v>0.2759999999999998</v>
      </c>
      <c r="H165" s="16">
        <f t="shared" si="24"/>
        <v>0.23730479999999984</v>
      </c>
      <c r="I165" s="19"/>
      <c r="J165" s="16">
        <f>D165/($E$18-$E$19)*$J$17</f>
        <v>0.45141160331466434</v>
      </c>
      <c r="K165" s="19">
        <f t="shared" si="18"/>
        <v>0.68871640331466422</v>
      </c>
      <c r="M165" s="13" t="s">
        <v>69</v>
      </c>
    </row>
    <row r="166" spans="1:15" x14ac:dyDescent="0.25">
      <c r="A166" s="1">
        <v>124</v>
      </c>
      <c r="B166" s="47">
        <v>45747</v>
      </c>
      <c r="C166" s="66">
        <v>34242163</v>
      </c>
      <c r="D166" s="137">
        <v>59.3</v>
      </c>
      <c r="E166" s="5">
        <v>36.006</v>
      </c>
      <c r="F166" s="5">
        <v>36.673000000000002</v>
      </c>
      <c r="G166" s="28">
        <f>F166-E166</f>
        <v>0.66700000000000159</v>
      </c>
      <c r="H166" s="16">
        <f t="shared" si="24"/>
        <v>0.5734866000000014</v>
      </c>
      <c r="I166" s="19"/>
      <c r="J166" s="16">
        <f>D166/($E$18-$E$19)*$J$17</f>
        <v>0.31418671451361024</v>
      </c>
      <c r="K166" s="19">
        <f t="shared" si="18"/>
        <v>0.88767331451361164</v>
      </c>
      <c r="M166" s="13" t="s">
        <v>69</v>
      </c>
    </row>
    <row r="167" spans="1:15" x14ac:dyDescent="0.25">
      <c r="A167" s="1">
        <v>125</v>
      </c>
      <c r="B167" s="47">
        <v>45944</v>
      </c>
      <c r="C167" s="66">
        <v>34242153</v>
      </c>
      <c r="D167" s="137">
        <v>59.2</v>
      </c>
      <c r="E167" s="5">
        <v>41.668999999999997</v>
      </c>
      <c r="F167" s="5">
        <v>43.036000000000001</v>
      </c>
      <c r="G167" s="28">
        <f>F167-E167</f>
        <v>1.3670000000000044</v>
      </c>
      <c r="H167" s="16">
        <f t="shared" si="24"/>
        <v>1.1753466000000039</v>
      </c>
      <c r="I167" s="19"/>
      <c r="J167" s="16">
        <f>D167/($E$18-$E$19)*$J$17</f>
        <v>0.31365688868812358</v>
      </c>
      <c r="K167" s="19">
        <f t="shared" si="18"/>
        <v>1.4890034886881276</v>
      </c>
      <c r="M167" s="13" t="s">
        <v>69</v>
      </c>
    </row>
    <row r="168" spans="1:15" x14ac:dyDescent="0.25">
      <c r="A168" s="1">
        <v>126</v>
      </c>
      <c r="B168" s="48">
        <v>45875</v>
      </c>
      <c r="C168" s="66">
        <v>20140213</v>
      </c>
      <c r="D168" s="137">
        <v>77.599999999999994</v>
      </c>
      <c r="E168" s="5">
        <v>6.8339999999999996</v>
      </c>
      <c r="F168" s="5">
        <v>6.8339999999999996</v>
      </c>
      <c r="G168" s="28">
        <f>F168-E168</f>
        <v>0</v>
      </c>
      <c r="H168" s="16">
        <f t="shared" si="24"/>
        <v>0</v>
      </c>
      <c r="I168" s="16"/>
      <c r="J168" s="16">
        <f>D168/($E$18-$E$19)*$J$17</f>
        <v>0.41114484057767542</v>
      </c>
      <c r="K168" s="19">
        <f t="shared" si="18"/>
        <v>0.41114484057767542</v>
      </c>
      <c r="M168" s="13" t="s">
        <v>69</v>
      </c>
    </row>
    <row r="169" spans="1:15" x14ac:dyDescent="0.25">
      <c r="A169" s="1">
        <v>127</v>
      </c>
      <c r="B169" s="33"/>
      <c r="C169" s="66">
        <v>34242152</v>
      </c>
      <c r="D169" s="146">
        <v>85.2</v>
      </c>
      <c r="E169" s="6">
        <v>79.182000000000002</v>
      </c>
      <c r="F169" s="6">
        <v>81.004000000000005</v>
      </c>
      <c r="G169" s="5"/>
      <c r="H169" s="16">
        <f t="shared" si="24"/>
        <v>0</v>
      </c>
      <c r="I169" s="16">
        <f>((D169*0.015)*12)/7</f>
        <v>2.1908571428571428</v>
      </c>
      <c r="J169" s="16"/>
      <c r="K169" s="19">
        <f t="shared" si="18"/>
        <v>2.1908571428571428</v>
      </c>
      <c r="M169" s="13" t="s">
        <v>71</v>
      </c>
    </row>
    <row r="170" spans="1:15" x14ac:dyDescent="0.25">
      <c r="A170" s="1">
        <v>128</v>
      </c>
      <c r="B170" s="33"/>
      <c r="C170" s="66">
        <v>34242147</v>
      </c>
      <c r="D170" s="146">
        <v>58.9</v>
      </c>
      <c r="E170" s="5">
        <v>24.510999999999999</v>
      </c>
      <c r="F170" s="5">
        <v>24.827000000000002</v>
      </c>
      <c r="G170" s="5"/>
      <c r="H170" s="16">
        <f t="shared" si="24"/>
        <v>0</v>
      </c>
      <c r="I170" s="16">
        <f>((D170*0.015)*12)/7</f>
        <v>1.5145714285714287</v>
      </c>
      <c r="J170" s="16"/>
      <c r="K170" s="19">
        <f t="shared" si="18"/>
        <v>1.5145714285714287</v>
      </c>
      <c r="M170" s="13" t="s">
        <v>71</v>
      </c>
    </row>
    <row r="171" spans="1:15" x14ac:dyDescent="0.25">
      <c r="A171" s="1">
        <v>129</v>
      </c>
      <c r="B171" s="47">
        <v>45984</v>
      </c>
      <c r="C171" s="66" t="s">
        <v>112</v>
      </c>
      <c r="D171" s="146">
        <v>58.6</v>
      </c>
      <c r="E171" s="39">
        <v>2.6850000000000001</v>
      </c>
      <c r="F171" s="39">
        <v>3.1539999999999999</v>
      </c>
      <c r="G171" s="5"/>
      <c r="H171" s="16">
        <f>F171-E171</f>
        <v>0.46899999999999986</v>
      </c>
      <c r="I171" s="16"/>
      <c r="J171" s="16">
        <f>D171/($E$18-$E$19)*$J$17</f>
        <v>0.31047793373520338</v>
      </c>
      <c r="K171" s="19">
        <f t="shared" si="18"/>
        <v>0.77947793373520324</v>
      </c>
      <c r="M171" s="13" t="s">
        <v>69</v>
      </c>
    </row>
    <row r="172" spans="1:15" ht="15.75" thickBot="1" x14ac:dyDescent="0.3">
      <c r="A172" s="15">
        <v>130</v>
      </c>
      <c r="B172" s="48">
        <v>45875</v>
      </c>
      <c r="C172" s="68">
        <v>34242150</v>
      </c>
      <c r="D172" s="90">
        <v>77.599999999999994</v>
      </c>
      <c r="E172" s="8">
        <v>6.798</v>
      </c>
      <c r="F172" s="8">
        <v>6.798</v>
      </c>
      <c r="G172" s="5">
        <f>F172-E172</f>
        <v>0</v>
      </c>
      <c r="H172" s="16">
        <f>G172*0.8598</f>
        <v>0</v>
      </c>
      <c r="I172" s="16"/>
      <c r="J172" s="16">
        <f>D172/($E$18-$E$19)*$J$17</f>
        <v>0.41114484057767542</v>
      </c>
      <c r="K172" s="19">
        <f t="shared" si="18"/>
        <v>0.41114484057767542</v>
      </c>
      <c r="M172" s="13" t="s">
        <v>69</v>
      </c>
    </row>
    <row r="173" spans="1:15" ht="15.75" thickBot="1" x14ac:dyDescent="0.3">
      <c r="A173" s="219" t="s">
        <v>75</v>
      </c>
      <c r="B173" s="220"/>
      <c r="C173" s="220"/>
      <c r="D173" s="92">
        <f>SUM(D117:D172)</f>
        <v>3918.9999999999991</v>
      </c>
      <c r="E173" s="221" t="s">
        <v>76</v>
      </c>
      <c r="F173" s="221"/>
      <c r="G173" s="221"/>
      <c r="H173" s="64">
        <f>SUM(H117:H172)</f>
        <v>13.670044199999998</v>
      </c>
      <c r="I173" s="64">
        <f>SUM(I117:I172)</f>
        <v>28.560857142857145</v>
      </c>
      <c r="J173" s="64">
        <f>SUM(J117:J172)</f>
        <v>14.87909865714286</v>
      </c>
      <c r="K173" s="93">
        <f>SUM(K117:K172)</f>
        <v>57.110000000000007</v>
      </c>
      <c r="M173" s="13"/>
    </row>
    <row r="174" spans="1:15" x14ac:dyDescent="0.25">
      <c r="A174" s="9">
        <v>131</v>
      </c>
      <c r="B174" s="105">
        <v>45957</v>
      </c>
      <c r="C174" s="69" t="s">
        <v>113</v>
      </c>
      <c r="D174" s="144">
        <v>84.1</v>
      </c>
      <c r="E174" s="6">
        <v>4.8170000000000002</v>
      </c>
      <c r="F174" s="6">
        <v>5.9320000000000004</v>
      </c>
      <c r="G174" s="29"/>
      <c r="H174" s="16">
        <f>F174-E174</f>
        <v>1.1150000000000002</v>
      </c>
      <c r="I174" s="16"/>
      <c r="J174" s="16">
        <f>D174/($E$25-$E$26)*$J$24</f>
        <v>0.38206423936904049</v>
      </c>
      <c r="K174" s="19">
        <f>H174+I174+J174</f>
        <v>1.4970642393690408</v>
      </c>
      <c r="M174" s="13" t="s">
        <v>69</v>
      </c>
      <c r="N174" s="12"/>
      <c r="O174" s="12"/>
    </row>
    <row r="175" spans="1:15" x14ac:dyDescent="0.25">
      <c r="A175" s="1">
        <v>132</v>
      </c>
      <c r="B175" s="47">
        <v>45915</v>
      </c>
      <c r="C175" s="66">
        <v>43242256</v>
      </c>
      <c r="D175" s="137">
        <v>56.3</v>
      </c>
      <c r="E175" s="5">
        <v>30.664000000000001</v>
      </c>
      <c r="F175" s="5">
        <v>30.975000000000001</v>
      </c>
      <c r="G175" s="28">
        <f>F175-E175</f>
        <v>0.31099999999999994</v>
      </c>
      <c r="H175" s="16">
        <f t="shared" si="24"/>
        <v>0.26739779999999996</v>
      </c>
      <c r="I175" s="19"/>
      <c r="J175" s="16">
        <f>D175/($E$25-$E$26)*$J$24</f>
        <v>0.25576952052885826</v>
      </c>
      <c r="K175" s="19">
        <f t="shared" ref="K175:K225" si="25">H175+I175+J175</f>
        <v>0.52316732052885828</v>
      </c>
      <c r="M175" s="13" t="s">
        <v>69</v>
      </c>
      <c r="N175" s="12"/>
    </row>
    <row r="176" spans="1:15" x14ac:dyDescent="0.25">
      <c r="A176" s="1">
        <v>133</v>
      </c>
      <c r="B176" s="47">
        <v>45719</v>
      </c>
      <c r="C176" s="66">
        <v>43242235</v>
      </c>
      <c r="D176" s="137">
        <v>56.1</v>
      </c>
      <c r="E176" s="5">
        <v>13.827999999999999</v>
      </c>
      <c r="F176" s="5">
        <v>13.827999999999999</v>
      </c>
      <c r="G176" s="28">
        <f>F176-E176</f>
        <v>0</v>
      </c>
      <c r="H176" s="16">
        <f t="shared" si="24"/>
        <v>0</v>
      </c>
      <c r="I176" s="16"/>
      <c r="J176" s="16">
        <f t="shared" ref="J176:J178" si="26">D176/($E$25-$E$26)*$J$24</f>
        <v>0.25486092542928862</v>
      </c>
      <c r="K176" s="19">
        <f t="shared" si="25"/>
        <v>0.25486092542928862</v>
      </c>
      <c r="M176" s="13" t="s">
        <v>69</v>
      </c>
      <c r="N176" s="12"/>
    </row>
    <row r="177" spans="1:15" x14ac:dyDescent="0.25">
      <c r="A177" s="1">
        <v>134</v>
      </c>
      <c r="B177" s="47">
        <v>45825</v>
      </c>
      <c r="C177" s="66">
        <v>43242250</v>
      </c>
      <c r="D177" s="146">
        <v>85.2</v>
      </c>
      <c r="E177" s="27">
        <v>34.168999999999997</v>
      </c>
      <c r="F177" s="27">
        <v>34.813000000000002</v>
      </c>
      <c r="G177" s="28">
        <f>F177-E177</f>
        <v>0.64400000000000546</v>
      </c>
      <c r="H177" s="16">
        <f t="shared" si="24"/>
        <v>0.55371120000000473</v>
      </c>
      <c r="I177" s="19"/>
      <c r="J177" s="16">
        <f t="shared" si="26"/>
        <v>0.38706151241667364</v>
      </c>
      <c r="K177" s="19">
        <f t="shared" si="25"/>
        <v>0.94077271241667837</v>
      </c>
      <c r="M177" s="13" t="s">
        <v>69</v>
      </c>
      <c r="N177" s="12"/>
    </row>
    <row r="178" spans="1:15" x14ac:dyDescent="0.25">
      <c r="A178" s="1">
        <v>135</v>
      </c>
      <c r="B178" s="47">
        <v>45941</v>
      </c>
      <c r="C178" s="66">
        <v>34242382</v>
      </c>
      <c r="D178" s="137">
        <v>84.4</v>
      </c>
      <c r="E178" s="5">
        <v>68.286000000000001</v>
      </c>
      <c r="F178" s="5">
        <v>70.394000000000005</v>
      </c>
      <c r="G178" s="28">
        <f>F178-E178</f>
        <v>2.1080000000000041</v>
      </c>
      <c r="H178" s="16">
        <f t="shared" si="24"/>
        <v>1.8124584000000035</v>
      </c>
      <c r="I178" s="19"/>
      <c r="J178" s="16">
        <f t="shared" si="26"/>
        <v>0.38342713201839501</v>
      </c>
      <c r="K178" s="19">
        <f t="shared" si="25"/>
        <v>2.1958855320183983</v>
      </c>
      <c r="M178" s="13" t="s">
        <v>69</v>
      </c>
      <c r="N178" s="12"/>
    </row>
    <row r="179" spans="1:15" x14ac:dyDescent="0.25">
      <c r="A179" s="1">
        <v>136</v>
      </c>
      <c r="B179" s="33"/>
      <c r="C179" s="66">
        <v>43242379</v>
      </c>
      <c r="D179" s="137">
        <v>56.2</v>
      </c>
      <c r="E179" s="5">
        <v>41.845999999999997</v>
      </c>
      <c r="F179" s="5">
        <v>43.006</v>
      </c>
      <c r="G179" s="29"/>
      <c r="H179" s="16">
        <f t="shared" si="24"/>
        <v>0</v>
      </c>
      <c r="I179" s="16">
        <f>((D179*0.015)*12)/7</f>
        <v>1.4451428571428571</v>
      </c>
      <c r="J179" s="16"/>
      <c r="K179" s="19">
        <f t="shared" si="25"/>
        <v>1.4451428571428571</v>
      </c>
      <c r="M179" s="13" t="s">
        <v>71</v>
      </c>
      <c r="N179" s="12"/>
      <c r="O179" s="12"/>
    </row>
    <row r="180" spans="1:15" x14ac:dyDescent="0.25">
      <c r="A180" s="1">
        <v>137</v>
      </c>
      <c r="B180" s="47">
        <v>45580</v>
      </c>
      <c r="C180" s="66">
        <v>43242240</v>
      </c>
      <c r="D180" s="137">
        <v>55.7</v>
      </c>
      <c r="E180" s="5">
        <v>28.893999999999998</v>
      </c>
      <c r="F180" s="5">
        <v>29.434999999999999</v>
      </c>
      <c r="G180" s="28">
        <f>F180-E180</f>
        <v>0.54100000000000037</v>
      </c>
      <c r="H180" s="16">
        <f t="shared" si="24"/>
        <v>0.46515180000000034</v>
      </c>
      <c r="I180" s="19"/>
      <c r="J180" s="16">
        <f>D180/($E$25-$E$26)*$J$24</f>
        <v>0.25304373523014934</v>
      </c>
      <c r="K180" s="19">
        <f>H180+I180+J180</f>
        <v>0.71819553523014967</v>
      </c>
      <c r="M180" s="13" t="s">
        <v>69</v>
      </c>
      <c r="N180" s="12"/>
    </row>
    <row r="181" spans="1:15" x14ac:dyDescent="0.25">
      <c r="A181" s="1">
        <v>138</v>
      </c>
      <c r="B181" s="47">
        <v>45580</v>
      </c>
      <c r="C181" s="66">
        <v>43242241</v>
      </c>
      <c r="D181" s="137">
        <v>84.3</v>
      </c>
      <c r="E181" s="5">
        <v>58.802999999999997</v>
      </c>
      <c r="F181" s="5">
        <v>60.029000000000003</v>
      </c>
      <c r="G181" s="28">
        <f>F181-E181</f>
        <v>1.2260000000000062</v>
      </c>
      <c r="H181" s="16">
        <f t="shared" si="24"/>
        <v>1.0541148000000053</v>
      </c>
      <c r="I181" s="19"/>
      <c r="J181" s="16">
        <f t="shared" ref="J181:J183" si="27">D181/($E$25-$E$26)*$J$24</f>
        <v>0.38297283446861019</v>
      </c>
      <c r="K181" s="19">
        <f t="shared" si="25"/>
        <v>1.4370876344686154</v>
      </c>
      <c r="M181" s="13" t="s">
        <v>69</v>
      </c>
      <c r="N181" s="12"/>
    </row>
    <row r="182" spans="1:15" x14ac:dyDescent="0.25">
      <c r="A182" s="1">
        <v>139</v>
      </c>
      <c r="B182" s="47">
        <v>45725</v>
      </c>
      <c r="C182" s="66">
        <v>34242385</v>
      </c>
      <c r="D182" s="137">
        <v>84</v>
      </c>
      <c r="E182" s="5">
        <v>10.609</v>
      </c>
      <c r="F182" s="5">
        <v>10.612</v>
      </c>
      <c r="G182" s="28">
        <f>F182-E182</f>
        <v>3.0000000000001137E-3</v>
      </c>
      <c r="H182" s="16">
        <f t="shared" si="24"/>
        <v>2.5794000000000979E-3</v>
      </c>
      <c r="I182" s="16"/>
      <c r="J182" s="16">
        <f t="shared" si="27"/>
        <v>0.38160994181925573</v>
      </c>
      <c r="K182" s="19">
        <f>H182+I182+J182</f>
        <v>0.38418934181925585</v>
      </c>
      <c r="M182" s="13" t="s">
        <v>69</v>
      </c>
      <c r="N182" s="12"/>
    </row>
    <row r="183" spans="1:15" x14ac:dyDescent="0.25">
      <c r="A183" s="1">
        <v>140</v>
      </c>
      <c r="B183" s="47">
        <v>45928</v>
      </c>
      <c r="C183" s="10" t="s">
        <v>103</v>
      </c>
      <c r="D183" s="137">
        <v>55.6</v>
      </c>
      <c r="E183" s="5">
        <v>4.2460000000000004</v>
      </c>
      <c r="F183" s="5">
        <v>5.05</v>
      </c>
      <c r="G183" s="28"/>
      <c r="H183" s="16">
        <f>F183-E183</f>
        <v>0.80399999999999938</v>
      </c>
      <c r="I183" s="19"/>
      <c r="J183" s="16">
        <f t="shared" si="27"/>
        <v>0.25258943768036451</v>
      </c>
      <c r="K183" s="19">
        <f t="shared" si="25"/>
        <v>1.056589437680364</v>
      </c>
      <c r="M183" s="13" t="s">
        <v>69</v>
      </c>
      <c r="N183" s="12"/>
    </row>
    <row r="184" spans="1:15" x14ac:dyDescent="0.25">
      <c r="A184" s="1">
        <v>141</v>
      </c>
      <c r="B184" s="33"/>
      <c r="C184" s="66">
        <v>34242390</v>
      </c>
      <c r="D184" s="137">
        <v>56.4</v>
      </c>
      <c r="E184" s="5">
        <v>19.161000000000001</v>
      </c>
      <c r="F184" s="5">
        <v>19.582999999999998</v>
      </c>
      <c r="G184" s="28"/>
      <c r="H184" s="16">
        <f>G184*0.8598</f>
        <v>0</v>
      </c>
      <c r="I184" s="16">
        <f>((D184*0.015)*12)/7</f>
        <v>1.4502857142857142</v>
      </c>
      <c r="J184" s="16"/>
      <c r="K184" s="19">
        <f t="shared" si="25"/>
        <v>1.4502857142857142</v>
      </c>
      <c r="M184" s="13" t="s">
        <v>71</v>
      </c>
      <c r="N184" s="12"/>
      <c r="O184" s="12"/>
    </row>
    <row r="185" spans="1:15" x14ac:dyDescent="0.25">
      <c r="A185" s="1">
        <v>142</v>
      </c>
      <c r="B185" s="33" t="s">
        <v>59</v>
      </c>
      <c r="C185" s="10" t="s">
        <v>77</v>
      </c>
      <c r="D185" s="137">
        <v>84.1</v>
      </c>
      <c r="E185" s="39">
        <v>4.2567000000000004</v>
      </c>
      <c r="F185" s="39">
        <v>4.8452999999999999</v>
      </c>
      <c r="G185" s="28"/>
      <c r="H185" s="16">
        <f>F185-E185</f>
        <v>0.58859999999999957</v>
      </c>
      <c r="I185" s="19"/>
      <c r="J185" s="16">
        <f>D185/($E$25-$E$26)*$J$24</f>
        <v>0.38206423936904049</v>
      </c>
      <c r="K185" s="19">
        <f t="shared" si="25"/>
        <v>0.97066423936904012</v>
      </c>
      <c r="M185" s="13" t="s">
        <v>69</v>
      </c>
      <c r="N185" s="12"/>
    </row>
    <row r="186" spans="1:15" x14ac:dyDescent="0.25">
      <c r="A186" s="1">
        <v>143</v>
      </c>
      <c r="B186" s="47">
        <v>45915</v>
      </c>
      <c r="C186" s="66">
        <v>34242383</v>
      </c>
      <c r="D186" s="137">
        <v>83.5</v>
      </c>
      <c r="E186" s="5">
        <v>36.92</v>
      </c>
      <c r="F186" s="5">
        <v>38.085999999999999</v>
      </c>
      <c r="G186" s="28">
        <f>F186-E186</f>
        <v>1.1659999999999968</v>
      </c>
      <c r="H186" s="16">
        <f t="shared" ref="H186:H214" si="28">G186*0.8598</f>
        <v>1.0025267999999972</v>
      </c>
      <c r="I186" s="19"/>
      <c r="J186" s="16">
        <f>D186/($E$25-$E$26)*$J$24</f>
        <v>0.37933845407033157</v>
      </c>
      <c r="K186" s="19">
        <f t="shared" si="25"/>
        <v>1.3818652540703287</v>
      </c>
      <c r="M186" s="13" t="s">
        <v>69</v>
      </c>
      <c r="N186" s="12"/>
    </row>
    <row r="187" spans="1:15" x14ac:dyDescent="0.25">
      <c r="A187" s="1">
        <v>144</v>
      </c>
      <c r="B187" s="34"/>
      <c r="C187" s="66">
        <v>34242379</v>
      </c>
      <c r="D187" s="137">
        <v>56.3</v>
      </c>
      <c r="E187" s="5">
        <v>24.282</v>
      </c>
      <c r="F187" s="5">
        <v>24.872</v>
      </c>
      <c r="G187" s="28"/>
      <c r="H187" s="16">
        <f t="shared" si="28"/>
        <v>0</v>
      </c>
      <c r="I187" s="16">
        <f>((D187*0.015)*12)/7</f>
        <v>1.4477142857142855</v>
      </c>
      <c r="J187" s="16"/>
      <c r="K187" s="19">
        <f t="shared" si="25"/>
        <v>1.4477142857142855</v>
      </c>
      <c r="M187" s="13" t="s">
        <v>71</v>
      </c>
      <c r="N187" s="12"/>
      <c r="O187" s="12"/>
    </row>
    <row r="188" spans="1:15" x14ac:dyDescent="0.25">
      <c r="A188" s="1">
        <v>145</v>
      </c>
      <c r="B188" s="47">
        <v>45829</v>
      </c>
      <c r="C188" s="66">
        <v>34242386</v>
      </c>
      <c r="D188" s="137">
        <v>56.6</v>
      </c>
      <c r="E188" s="5">
        <v>20.504000000000001</v>
      </c>
      <c r="F188" s="5">
        <v>21.367000000000001</v>
      </c>
      <c r="G188" s="28">
        <f>F188-E188</f>
        <v>0.86299999999999955</v>
      </c>
      <c r="H188" s="16">
        <f t="shared" si="28"/>
        <v>0.74200739999999965</v>
      </c>
      <c r="I188" s="19"/>
      <c r="J188" s="16">
        <f>D188/($E$25-$E$26)*$J$24</f>
        <v>0.25713241317821278</v>
      </c>
      <c r="K188" s="19">
        <f t="shared" si="25"/>
        <v>0.99913981317821243</v>
      </c>
      <c r="M188" s="13" t="s">
        <v>69</v>
      </c>
      <c r="N188" s="12"/>
    </row>
    <row r="189" spans="1:15" x14ac:dyDescent="0.25">
      <c r="A189" s="1">
        <v>146</v>
      </c>
      <c r="B189" s="47">
        <v>45829</v>
      </c>
      <c r="C189" s="66">
        <v>34242384</v>
      </c>
      <c r="D189" s="137">
        <v>84.3</v>
      </c>
      <c r="E189" s="5">
        <v>22.850999999999999</v>
      </c>
      <c r="F189" s="5">
        <v>24.114999999999998</v>
      </c>
      <c r="G189" s="28">
        <f>F189-E189</f>
        <v>1.2639999999999993</v>
      </c>
      <c r="H189" s="16">
        <f t="shared" si="28"/>
        <v>1.0867871999999994</v>
      </c>
      <c r="I189" s="16"/>
      <c r="J189" s="16">
        <f t="shared" ref="J189:J191" si="29">D189/($E$25-$E$26)*$J$24</f>
        <v>0.38297283446861019</v>
      </c>
      <c r="K189" s="19">
        <f t="shared" si="25"/>
        <v>1.4697600344686097</v>
      </c>
      <c r="M189" s="13" t="s">
        <v>69</v>
      </c>
      <c r="N189" s="12"/>
    </row>
    <row r="190" spans="1:15" x14ac:dyDescent="0.25">
      <c r="A190" s="1">
        <v>147</v>
      </c>
      <c r="B190" s="47">
        <v>45753</v>
      </c>
      <c r="C190" s="66">
        <v>34242301</v>
      </c>
      <c r="D190" s="137">
        <v>84.7</v>
      </c>
      <c r="E190" s="5">
        <v>35.618000000000002</v>
      </c>
      <c r="F190" s="5">
        <v>37.003999999999998</v>
      </c>
      <c r="G190" s="28">
        <f>F190-E190</f>
        <v>1.3859999999999957</v>
      </c>
      <c r="H190" s="16">
        <f t="shared" si="28"/>
        <v>1.1916827999999964</v>
      </c>
      <c r="I190" s="19"/>
      <c r="J190" s="16">
        <f t="shared" si="29"/>
        <v>0.38479002466774948</v>
      </c>
      <c r="K190" s="19">
        <f t="shared" si="25"/>
        <v>1.576472824667746</v>
      </c>
      <c r="M190" s="13" t="s">
        <v>69</v>
      </c>
      <c r="N190" s="12"/>
    </row>
    <row r="191" spans="1:15" x14ac:dyDescent="0.25">
      <c r="A191" s="1">
        <v>148</v>
      </c>
      <c r="B191" s="47">
        <v>45899</v>
      </c>
      <c r="C191" s="66">
        <v>34242298</v>
      </c>
      <c r="D191" s="137">
        <v>56.4</v>
      </c>
      <c r="E191" s="5">
        <v>25.382000000000001</v>
      </c>
      <c r="F191" s="5">
        <v>26.379000000000001</v>
      </c>
      <c r="G191" s="28">
        <f>F191-E191</f>
        <v>0.99699999999999989</v>
      </c>
      <c r="H191" s="16">
        <f t="shared" si="28"/>
        <v>0.85722059999999989</v>
      </c>
      <c r="I191" s="19"/>
      <c r="J191" s="16">
        <f t="shared" si="29"/>
        <v>0.25622381807864314</v>
      </c>
      <c r="K191" s="19">
        <f t="shared" si="25"/>
        <v>1.1134444180786431</v>
      </c>
      <c r="M191" s="13" t="s">
        <v>69</v>
      </c>
      <c r="N191" s="12"/>
    </row>
    <row r="192" spans="1:15" x14ac:dyDescent="0.25">
      <c r="A192" s="1">
        <v>149</v>
      </c>
      <c r="B192" s="33"/>
      <c r="C192" s="66">
        <v>34242302</v>
      </c>
      <c r="D192" s="137">
        <v>56.7</v>
      </c>
      <c r="E192" s="5">
        <v>27.222000000000001</v>
      </c>
      <c r="F192" s="5">
        <v>27.951000000000001</v>
      </c>
      <c r="G192" s="28"/>
      <c r="H192" s="16">
        <f t="shared" si="28"/>
        <v>0</v>
      </c>
      <c r="I192" s="16">
        <f>((D192*0.015)*12)/7</f>
        <v>1.458</v>
      </c>
      <c r="J192" s="16"/>
      <c r="K192" s="19">
        <f t="shared" si="25"/>
        <v>1.458</v>
      </c>
      <c r="M192" s="13" t="s">
        <v>71</v>
      </c>
      <c r="N192" s="12"/>
      <c r="O192" s="12"/>
    </row>
    <row r="193" spans="1:16" x14ac:dyDescent="0.25">
      <c r="A193" s="1">
        <v>150</v>
      </c>
      <c r="B193" s="47">
        <v>45873</v>
      </c>
      <c r="C193" s="66">
        <v>34242299</v>
      </c>
      <c r="D193" s="137">
        <v>84.6</v>
      </c>
      <c r="E193" s="5">
        <v>20.742999999999999</v>
      </c>
      <c r="F193" s="5">
        <v>21.257999999999999</v>
      </c>
      <c r="G193" s="28">
        <f>F193-E193</f>
        <v>0.51500000000000057</v>
      </c>
      <c r="H193" s="16">
        <f t="shared" si="28"/>
        <v>0.4427970000000005</v>
      </c>
      <c r="I193" s="16"/>
      <c r="J193" s="16">
        <f>D193/($E$25-$E$26)*$J$24</f>
        <v>0.38433572711796465</v>
      </c>
      <c r="K193" s="19">
        <f t="shared" si="25"/>
        <v>0.82713272711796515</v>
      </c>
      <c r="M193" s="13" t="s">
        <v>69</v>
      </c>
      <c r="N193" s="12"/>
    </row>
    <row r="194" spans="1:16" x14ac:dyDescent="0.25">
      <c r="A194" s="1">
        <v>151</v>
      </c>
      <c r="B194" s="47">
        <v>45937</v>
      </c>
      <c r="C194" s="66">
        <v>34242300</v>
      </c>
      <c r="D194" s="137">
        <v>84.6</v>
      </c>
      <c r="E194" s="5">
        <v>34.979999999999997</v>
      </c>
      <c r="F194" s="5">
        <v>35.171999999999997</v>
      </c>
      <c r="G194" s="28">
        <f>F194-E194</f>
        <v>0.19200000000000017</v>
      </c>
      <c r="H194" s="16">
        <f t="shared" si="28"/>
        <v>0.16508160000000016</v>
      </c>
      <c r="I194" s="19"/>
      <c r="J194" s="16">
        <f t="shared" ref="J194:J197" si="30">D194/($E$25-$E$26)*$J$24</f>
        <v>0.38433572711796465</v>
      </c>
      <c r="K194" s="19">
        <f t="shared" si="25"/>
        <v>0.54941732711796476</v>
      </c>
      <c r="M194" s="13" t="s">
        <v>69</v>
      </c>
      <c r="N194" s="12"/>
    </row>
    <row r="195" spans="1:16" x14ac:dyDescent="0.25">
      <c r="A195" s="1">
        <v>152</v>
      </c>
      <c r="B195" s="47">
        <v>45593</v>
      </c>
      <c r="C195" s="10" t="s">
        <v>94</v>
      </c>
      <c r="D195" s="137">
        <v>56.3</v>
      </c>
      <c r="E195" s="39">
        <v>0.441</v>
      </c>
      <c r="F195" s="39">
        <v>0.54320000000000002</v>
      </c>
      <c r="G195" s="28"/>
      <c r="H195" s="16">
        <f>F195-E195</f>
        <v>0.10220000000000001</v>
      </c>
      <c r="I195" s="19"/>
      <c r="J195" s="16">
        <f t="shared" si="30"/>
        <v>0.25576952052885826</v>
      </c>
      <c r="K195" s="19">
        <f>H195+I195+J195</f>
        <v>0.35796952052885828</v>
      </c>
      <c r="M195" s="13" t="s">
        <v>69</v>
      </c>
      <c r="N195" s="12"/>
    </row>
    <row r="196" spans="1:16" x14ac:dyDescent="0.25">
      <c r="A196" s="1">
        <v>153</v>
      </c>
      <c r="B196" s="47">
        <v>45594</v>
      </c>
      <c r="C196" s="10" t="s">
        <v>92</v>
      </c>
      <c r="D196" s="137">
        <v>56.9</v>
      </c>
      <c r="E196" s="39">
        <v>0.64670000000000005</v>
      </c>
      <c r="F196" s="39">
        <v>0.69599999999999995</v>
      </c>
      <c r="G196" s="28"/>
      <c r="H196" s="16">
        <f>F196-E196</f>
        <v>4.9299999999999899E-2</v>
      </c>
      <c r="I196" s="19"/>
      <c r="J196" s="16">
        <f t="shared" si="30"/>
        <v>0.25849530582756725</v>
      </c>
      <c r="K196" s="19">
        <f t="shared" si="25"/>
        <v>0.30779530582756714</v>
      </c>
      <c r="M196" s="13" t="s">
        <v>69</v>
      </c>
      <c r="N196" s="12"/>
    </row>
    <row r="197" spans="1:16" x14ac:dyDescent="0.25">
      <c r="A197" s="1">
        <v>154</v>
      </c>
      <c r="B197" s="47">
        <v>46000</v>
      </c>
      <c r="C197" s="66">
        <v>34242305</v>
      </c>
      <c r="D197" s="137">
        <v>85.7</v>
      </c>
      <c r="E197" s="5">
        <v>30.396000000000001</v>
      </c>
      <c r="F197" s="5">
        <v>30.445</v>
      </c>
      <c r="G197" s="28">
        <f>F197-E197</f>
        <v>4.8999999999999488E-2</v>
      </c>
      <c r="H197" s="16">
        <f t="shared" si="28"/>
        <v>4.2130199999999562E-2</v>
      </c>
      <c r="I197" s="16"/>
      <c r="J197" s="16">
        <f t="shared" si="30"/>
        <v>0.38933300016559785</v>
      </c>
      <c r="K197" s="19">
        <f t="shared" si="25"/>
        <v>0.43146320016559742</v>
      </c>
      <c r="M197" s="13" t="s">
        <v>69</v>
      </c>
      <c r="N197" s="12"/>
      <c r="O197" s="12"/>
      <c r="P197" s="12"/>
    </row>
    <row r="198" spans="1:16" x14ac:dyDescent="0.25">
      <c r="A198" s="1">
        <v>155</v>
      </c>
      <c r="B198" s="33"/>
      <c r="C198" s="66">
        <v>34242323</v>
      </c>
      <c r="D198" s="137">
        <v>84.9</v>
      </c>
      <c r="E198" s="5">
        <v>54.76</v>
      </c>
      <c r="F198" s="5">
        <v>55.604999999999997</v>
      </c>
      <c r="G198" s="28"/>
      <c r="H198" s="16">
        <f t="shared" si="28"/>
        <v>0</v>
      </c>
      <c r="I198" s="16">
        <f>((D198*0.015)*12)/7</f>
        <v>2.1831428571428573</v>
      </c>
      <c r="J198" s="16"/>
      <c r="K198" s="19">
        <f t="shared" si="25"/>
        <v>2.1831428571428573</v>
      </c>
      <c r="M198" s="13" t="s">
        <v>71</v>
      </c>
      <c r="N198" s="12"/>
    </row>
    <row r="199" spans="1:16" x14ac:dyDescent="0.25">
      <c r="A199" s="1">
        <v>156</v>
      </c>
      <c r="B199" s="47">
        <v>46045</v>
      </c>
      <c r="C199" s="66">
        <v>34242320</v>
      </c>
      <c r="D199" s="137">
        <v>56.8</v>
      </c>
      <c r="E199" s="5">
        <v>41.701000000000001</v>
      </c>
      <c r="F199" s="5">
        <v>42.776000000000003</v>
      </c>
      <c r="G199" s="28">
        <f>F199-E199</f>
        <v>1.0750000000000028</v>
      </c>
      <c r="H199" s="16">
        <f t="shared" si="28"/>
        <v>0.92428500000000247</v>
      </c>
      <c r="I199" s="16"/>
      <c r="J199" s="16">
        <f>D199/($E$25-$E$26)*$J$24</f>
        <v>0.25804100827778242</v>
      </c>
      <c r="K199" s="19">
        <f t="shared" si="25"/>
        <v>1.1823260082777849</v>
      </c>
      <c r="M199" s="13" t="s">
        <v>69</v>
      </c>
      <c r="N199" s="12"/>
    </row>
    <row r="200" spans="1:16" x14ac:dyDescent="0.25">
      <c r="A200" s="1">
        <v>157</v>
      </c>
      <c r="B200" s="47">
        <v>45934</v>
      </c>
      <c r="C200" s="66">
        <v>34242321</v>
      </c>
      <c r="D200" s="137">
        <v>57.1</v>
      </c>
      <c r="E200" s="5">
        <v>39.844999999999999</v>
      </c>
      <c r="F200" s="5">
        <v>40.902999999999999</v>
      </c>
      <c r="G200" s="28">
        <f>F200-E200</f>
        <v>1.0579999999999998</v>
      </c>
      <c r="H200" s="16">
        <f t="shared" si="28"/>
        <v>0.90966839999999982</v>
      </c>
      <c r="I200" s="19"/>
      <c r="J200" s="16">
        <f>D200/($E$25-$E$26)*$J$24</f>
        <v>0.25940390092713694</v>
      </c>
      <c r="K200" s="19">
        <f t="shared" si="25"/>
        <v>1.1690723009271369</v>
      </c>
      <c r="M200" s="13" t="s">
        <v>69</v>
      </c>
      <c r="N200" s="12"/>
    </row>
    <row r="201" spans="1:16" x14ac:dyDescent="0.25">
      <c r="A201" s="1">
        <v>158</v>
      </c>
      <c r="B201" s="33"/>
      <c r="C201" s="66">
        <v>34242304</v>
      </c>
      <c r="D201" s="137">
        <v>85.5</v>
      </c>
      <c r="E201" s="5">
        <v>48.026000000000003</v>
      </c>
      <c r="F201" s="5">
        <v>49.14</v>
      </c>
      <c r="G201" s="28"/>
      <c r="H201" s="16">
        <f t="shared" si="28"/>
        <v>0</v>
      </c>
      <c r="I201" s="16">
        <f>((D201*0.015)*12)/7</f>
        <v>2.1985714285714288</v>
      </c>
      <c r="J201" s="16"/>
      <c r="K201" s="19">
        <f t="shared" si="25"/>
        <v>2.1985714285714288</v>
      </c>
      <c r="M201" s="13" t="s">
        <v>71</v>
      </c>
      <c r="N201" s="12"/>
      <c r="O201" s="12"/>
    </row>
    <row r="202" spans="1:16" x14ac:dyDescent="0.25">
      <c r="A202" s="1">
        <v>159</v>
      </c>
      <c r="B202" s="47">
        <v>45907</v>
      </c>
      <c r="C202" s="66">
        <v>34242308</v>
      </c>
      <c r="D202" s="137">
        <v>84.6</v>
      </c>
      <c r="E202" s="74">
        <v>45.304000000000002</v>
      </c>
      <c r="F202" s="74">
        <f>45.304+0.635</f>
        <v>45.939</v>
      </c>
      <c r="G202" s="28">
        <f>F202-E202</f>
        <v>0.63499999999999801</v>
      </c>
      <c r="H202" s="16">
        <f t="shared" si="28"/>
        <v>0.54597299999999827</v>
      </c>
      <c r="I202" s="16"/>
      <c r="J202" s="16">
        <f>D202/($E$25-$E$26)*$J$24</f>
        <v>0.38433572711796465</v>
      </c>
      <c r="K202" s="19">
        <f t="shared" si="25"/>
        <v>0.93030872711796286</v>
      </c>
      <c r="M202" s="13" t="s">
        <v>69</v>
      </c>
      <c r="N202" s="12"/>
    </row>
    <row r="203" spans="1:16" x14ac:dyDescent="0.25">
      <c r="A203" s="1">
        <v>160</v>
      </c>
      <c r="B203" s="47">
        <v>45753</v>
      </c>
      <c r="C203" s="66">
        <v>34242307</v>
      </c>
      <c r="D203" s="137">
        <v>56.3</v>
      </c>
      <c r="E203" s="5">
        <v>6.5</v>
      </c>
      <c r="F203" s="5">
        <f>6.5+0.422</f>
        <v>6.9219999999999997</v>
      </c>
      <c r="G203" s="28">
        <f>F203-E203</f>
        <v>0.42199999999999971</v>
      </c>
      <c r="H203" s="16">
        <f t="shared" si="28"/>
        <v>0.36283559999999976</v>
      </c>
      <c r="I203" s="16"/>
      <c r="J203" s="16">
        <f>D203/($E$25-$E$26)*$J$24</f>
        <v>0.25576952052885826</v>
      </c>
      <c r="K203" s="19">
        <f t="shared" si="25"/>
        <v>0.61860512052885808</v>
      </c>
      <c r="M203" s="13" t="s">
        <v>69</v>
      </c>
      <c r="N203" s="12"/>
    </row>
    <row r="204" spans="1:16" x14ac:dyDescent="0.25">
      <c r="A204" s="1">
        <v>161</v>
      </c>
      <c r="B204" s="47">
        <v>45934</v>
      </c>
      <c r="C204" s="66">
        <v>34242312</v>
      </c>
      <c r="D204" s="137">
        <v>56.8</v>
      </c>
      <c r="E204" s="5">
        <v>10.661</v>
      </c>
      <c r="F204" s="5">
        <v>10.661</v>
      </c>
      <c r="G204" s="28">
        <f>F204-E204</f>
        <v>0</v>
      </c>
      <c r="H204" s="16">
        <f t="shared" si="28"/>
        <v>0</v>
      </c>
      <c r="I204" s="16"/>
      <c r="J204" s="16">
        <f>D204/($E$25-$E$26)*$J$24</f>
        <v>0.25804100827778242</v>
      </c>
      <c r="K204" s="19">
        <f t="shared" si="25"/>
        <v>0.25804100827778242</v>
      </c>
      <c r="M204" s="13" t="s">
        <v>69</v>
      </c>
      <c r="N204" s="12"/>
    </row>
    <row r="205" spans="1:16" x14ac:dyDescent="0.25">
      <c r="A205" s="1">
        <v>162</v>
      </c>
      <c r="B205" s="33"/>
      <c r="C205" s="66">
        <v>34242309</v>
      </c>
      <c r="D205" s="137">
        <v>85.2</v>
      </c>
      <c r="E205" s="5">
        <v>30.791</v>
      </c>
      <c r="F205" s="5">
        <v>30.791</v>
      </c>
      <c r="G205" s="28"/>
      <c r="H205" s="16">
        <f t="shared" si="28"/>
        <v>0</v>
      </c>
      <c r="I205" s="16">
        <f>((D205*0.015)*12)/7</f>
        <v>2.1908571428571428</v>
      </c>
      <c r="J205" s="16"/>
      <c r="K205" s="19">
        <f t="shared" si="25"/>
        <v>2.1908571428571428</v>
      </c>
      <c r="M205" s="13" t="s">
        <v>71</v>
      </c>
      <c r="N205" s="12"/>
      <c r="O205" s="12"/>
    </row>
    <row r="206" spans="1:16" x14ac:dyDescent="0.25">
      <c r="A206" s="1">
        <v>163</v>
      </c>
      <c r="B206" s="47">
        <v>45704</v>
      </c>
      <c r="C206" s="66">
        <v>34242188</v>
      </c>
      <c r="D206" s="137">
        <v>84.4</v>
      </c>
      <c r="E206" s="5">
        <v>5.327</v>
      </c>
      <c r="F206" s="5">
        <v>5.327</v>
      </c>
      <c r="G206" s="28">
        <f>F206-E206</f>
        <v>0</v>
      </c>
      <c r="H206" s="16">
        <f>G206*0.8598</f>
        <v>0</v>
      </c>
      <c r="I206" s="16"/>
      <c r="J206" s="16">
        <f>D206/($E$25-$E$26)*$J$24</f>
        <v>0.38342713201839501</v>
      </c>
      <c r="K206" s="19">
        <f t="shared" si="25"/>
        <v>0.38342713201839501</v>
      </c>
      <c r="M206" s="13" t="s">
        <v>69</v>
      </c>
      <c r="N206" s="12"/>
    </row>
    <row r="207" spans="1:16" x14ac:dyDescent="0.25">
      <c r="A207" s="1">
        <v>164</v>
      </c>
      <c r="B207" s="47">
        <v>45748</v>
      </c>
      <c r="C207" s="66">
        <v>34242185</v>
      </c>
      <c r="D207" s="137">
        <v>55.9</v>
      </c>
      <c r="E207" s="5">
        <v>22.14</v>
      </c>
      <c r="F207" s="5">
        <v>22.847000000000001</v>
      </c>
      <c r="G207" s="28">
        <f>F207-E207</f>
        <v>0.70700000000000074</v>
      </c>
      <c r="H207" s="16">
        <f>G207*0.8598</f>
        <v>0.6078786000000006</v>
      </c>
      <c r="I207" s="19"/>
      <c r="J207" s="16">
        <f>D207/($E$25-$E$26)*$J$24</f>
        <v>0.25395233032971898</v>
      </c>
      <c r="K207" s="19">
        <f>H207+I207+J207</f>
        <v>0.86183093032971958</v>
      </c>
      <c r="M207" s="13" t="s">
        <v>69</v>
      </c>
      <c r="N207" s="12"/>
    </row>
    <row r="208" spans="1:16" x14ac:dyDescent="0.25">
      <c r="A208" s="1">
        <v>165</v>
      </c>
      <c r="B208" s="47">
        <v>45748</v>
      </c>
      <c r="C208" s="66">
        <v>43441088</v>
      </c>
      <c r="D208" s="137">
        <v>56.7</v>
      </c>
      <c r="E208" s="5">
        <v>21.029</v>
      </c>
      <c r="F208" s="5">
        <v>21.989000000000001</v>
      </c>
      <c r="G208" s="28">
        <f>F208-E208</f>
        <v>0.96000000000000085</v>
      </c>
      <c r="H208" s="16">
        <f t="shared" si="28"/>
        <v>0.8254080000000007</v>
      </c>
      <c r="I208" s="19"/>
      <c r="J208" s="16">
        <f>D208/($E$25-$E$26)*$J$24</f>
        <v>0.2575867107279976</v>
      </c>
      <c r="K208" s="19">
        <f t="shared" si="25"/>
        <v>1.0829947107279982</v>
      </c>
      <c r="M208" s="13" t="s">
        <v>69</v>
      </c>
      <c r="N208" s="12"/>
    </row>
    <row r="209" spans="1:15" x14ac:dyDescent="0.25">
      <c r="A209" s="1">
        <v>166</v>
      </c>
      <c r="B209" s="47">
        <v>45795</v>
      </c>
      <c r="C209" s="66">
        <v>34242310</v>
      </c>
      <c r="D209" s="137">
        <v>85.2</v>
      </c>
      <c r="E209" s="5">
        <v>36.200000000000003</v>
      </c>
      <c r="F209" s="5">
        <v>36.799999999999997</v>
      </c>
      <c r="G209" s="28">
        <f>F209-E209</f>
        <v>0.59999999999999432</v>
      </c>
      <c r="H209" s="16">
        <f>G209*0.8598</f>
        <v>0.51587999999999512</v>
      </c>
      <c r="I209" s="19"/>
      <c r="J209" s="16">
        <f>D209/($E$25-$E$26)*$J$24</f>
        <v>0.38706151241667364</v>
      </c>
      <c r="K209" s="19">
        <f t="shared" si="25"/>
        <v>0.90294151241666876</v>
      </c>
      <c r="M209" s="13" t="s">
        <v>69</v>
      </c>
      <c r="N209" s="12"/>
    </row>
    <row r="210" spans="1:15" x14ac:dyDescent="0.25">
      <c r="A210" s="1">
        <v>167</v>
      </c>
      <c r="B210" s="33"/>
      <c r="C210" s="66">
        <v>34242187</v>
      </c>
      <c r="D210" s="137">
        <v>84.9</v>
      </c>
      <c r="E210" s="5">
        <v>57.55</v>
      </c>
      <c r="F210" s="5">
        <v>60.045000000000002</v>
      </c>
      <c r="G210" s="28"/>
      <c r="H210" s="16">
        <f t="shared" si="28"/>
        <v>0</v>
      </c>
      <c r="I210" s="16">
        <f>((D210*0.015)*12)/7</f>
        <v>2.1831428571428573</v>
      </c>
      <c r="J210" s="16"/>
      <c r="K210" s="19">
        <f t="shared" si="25"/>
        <v>2.1831428571428573</v>
      </c>
      <c r="M210" s="13" t="s">
        <v>71</v>
      </c>
      <c r="N210" s="12"/>
      <c r="O210" s="12"/>
    </row>
    <row r="211" spans="1:15" x14ac:dyDescent="0.25">
      <c r="A211" s="1">
        <v>168</v>
      </c>
      <c r="B211" s="33"/>
      <c r="C211" s="66">
        <v>34242189</v>
      </c>
      <c r="D211" s="137">
        <v>56.4</v>
      </c>
      <c r="E211" s="5">
        <v>5.01</v>
      </c>
      <c r="F211" s="5">
        <v>5.01</v>
      </c>
      <c r="G211" s="28"/>
      <c r="H211" s="16">
        <f t="shared" si="28"/>
        <v>0</v>
      </c>
      <c r="I211" s="16">
        <f>((D211*0.015)*12)/7</f>
        <v>1.4502857142857142</v>
      </c>
      <c r="J211" s="16"/>
      <c r="K211" s="19">
        <f t="shared" si="25"/>
        <v>1.4502857142857142</v>
      </c>
      <c r="M211" s="13" t="s">
        <v>71</v>
      </c>
      <c r="N211" s="12"/>
      <c r="O211" s="12"/>
    </row>
    <row r="212" spans="1:15" x14ac:dyDescent="0.25">
      <c r="A212" s="1">
        <v>169</v>
      </c>
      <c r="B212" s="47">
        <v>46000</v>
      </c>
      <c r="C212" s="66">
        <v>34242191</v>
      </c>
      <c r="D212" s="137">
        <v>57</v>
      </c>
      <c r="E212" s="5">
        <v>27.123000000000001</v>
      </c>
      <c r="F212" s="5">
        <v>27.5</v>
      </c>
      <c r="G212" s="28">
        <f>F212-E212</f>
        <v>0.37699999999999889</v>
      </c>
      <c r="H212" s="16">
        <f t="shared" si="28"/>
        <v>0.32414459999999906</v>
      </c>
      <c r="I212" s="16"/>
      <c r="J212" s="16">
        <f>D212/($E$25-$E$26)*$J$24</f>
        <v>0.25894960337735207</v>
      </c>
      <c r="K212" s="19">
        <f t="shared" si="25"/>
        <v>0.58309420337735118</v>
      </c>
      <c r="M212" s="13" t="s">
        <v>69</v>
      </c>
      <c r="N212" s="12"/>
      <c r="O212" s="12"/>
    </row>
    <row r="213" spans="1:15" x14ac:dyDescent="0.25">
      <c r="A213" s="1">
        <v>170</v>
      </c>
      <c r="B213" s="47">
        <v>45608</v>
      </c>
      <c r="C213" s="66">
        <v>34242190</v>
      </c>
      <c r="D213" s="137">
        <v>85.3</v>
      </c>
      <c r="E213" s="5">
        <v>42.883000000000003</v>
      </c>
      <c r="F213" s="5">
        <v>44.064</v>
      </c>
      <c r="G213" s="28">
        <f>F213-E213</f>
        <v>1.1809999999999974</v>
      </c>
      <c r="H213" s="16">
        <f t="shared" si="28"/>
        <v>1.0154237999999978</v>
      </c>
      <c r="I213" s="19"/>
      <c r="J213" s="16">
        <f>D213/($E$25-$E$26)*$J$24</f>
        <v>0.38751580996645846</v>
      </c>
      <c r="K213" s="19">
        <f t="shared" si="25"/>
        <v>1.4029396099664562</v>
      </c>
      <c r="M213" s="13" t="s">
        <v>69</v>
      </c>
      <c r="N213" s="12"/>
    </row>
    <row r="214" spans="1:15" x14ac:dyDescent="0.25">
      <c r="A214" s="1">
        <v>171</v>
      </c>
      <c r="B214" s="47">
        <v>45866</v>
      </c>
      <c r="C214" s="66">
        <v>34242184</v>
      </c>
      <c r="D214" s="137">
        <v>84.3</v>
      </c>
      <c r="E214" s="5">
        <v>7.931</v>
      </c>
      <c r="F214" s="5">
        <v>7.931</v>
      </c>
      <c r="G214" s="28">
        <f>F214-E214</f>
        <v>0</v>
      </c>
      <c r="H214" s="16">
        <f t="shared" si="28"/>
        <v>0</v>
      </c>
      <c r="I214" s="16"/>
      <c r="J214" s="16">
        <f>D214/($E$25-$E$26)*$J$24</f>
        <v>0.38297283446861019</v>
      </c>
      <c r="K214" s="19">
        <f t="shared" si="25"/>
        <v>0.38297283446861019</v>
      </c>
      <c r="M214" s="13" t="s">
        <v>69</v>
      </c>
      <c r="N214" s="12"/>
    </row>
    <row r="215" spans="1:15" x14ac:dyDescent="0.25">
      <c r="A215" s="1">
        <v>172</v>
      </c>
      <c r="B215" s="47">
        <v>45553</v>
      </c>
      <c r="C215" s="10" t="s">
        <v>88</v>
      </c>
      <c r="D215" s="137">
        <v>56.4</v>
      </c>
      <c r="E215" s="39">
        <v>1.369</v>
      </c>
      <c r="F215" s="39">
        <v>1.4570000000000001</v>
      </c>
      <c r="G215" s="28"/>
      <c r="H215" s="16">
        <f>F215-E215</f>
        <v>8.8000000000000078E-2</v>
      </c>
      <c r="I215" s="19"/>
      <c r="J215" s="16">
        <f>D215/($E$25-$E$26)*$J$24</f>
        <v>0.25622381807864314</v>
      </c>
      <c r="K215" s="19">
        <f t="shared" si="25"/>
        <v>0.34422381807864322</v>
      </c>
      <c r="M215" s="13" t="s">
        <v>69</v>
      </c>
      <c r="N215" s="12"/>
    </row>
    <row r="216" spans="1:15" x14ac:dyDescent="0.25">
      <c r="A216" s="1">
        <v>173</v>
      </c>
      <c r="B216" s="33"/>
      <c r="C216" s="66">
        <v>34242186</v>
      </c>
      <c r="D216" s="137">
        <v>56.9</v>
      </c>
      <c r="E216" s="5">
        <v>29.992999999999999</v>
      </c>
      <c r="F216" s="5">
        <v>31.132999999999999</v>
      </c>
      <c r="G216" s="28"/>
      <c r="H216" s="16">
        <f t="shared" ref="H216:H238" si="31">G216*0.8598</f>
        <v>0</v>
      </c>
      <c r="I216" s="16">
        <f>((D216*0.015)*12)/7</f>
        <v>1.4631428571428571</v>
      </c>
      <c r="J216" s="16"/>
      <c r="K216" s="19">
        <f t="shared" si="25"/>
        <v>1.4631428571428571</v>
      </c>
      <c r="M216" s="13" t="s">
        <v>71</v>
      </c>
      <c r="N216" s="12"/>
    </row>
    <row r="217" spans="1:15" x14ac:dyDescent="0.25">
      <c r="A217" s="1">
        <v>174</v>
      </c>
      <c r="B217" s="47">
        <v>45671</v>
      </c>
      <c r="C217" s="66">
        <v>34242183</v>
      </c>
      <c r="D217" s="137">
        <v>85.9</v>
      </c>
      <c r="E217" s="5">
        <v>36.073</v>
      </c>
      <c r="F217" s="5">
        <v>36.616</v>
      </c>
      <c r="G217" s="28">
        <f>F217-E217</f>
        <v>0.54299999999999926</v>
      </c>
      <c r="H217" s="16">
        <f t="shared" si="31"/>
        <v>0.46687139999999938</v>
      </c>
      <c r="I217" s="19"/>
      <c r="J217" s="16">
        <f>D217/($E$25-$E$26)*$J$24</f>
        <v>0.3902415952651675</v>
      </c>
      <c r="K217" s="19">
        <f t="shared" si="25"/>
        <v>0.85711299526516682</v>
      </c>
      <c r="M217" s="13" t="s">
        <v>69</v>
      </c>
      <c r="N217" s="12"/>
    </row>
    <row r="218" spans="1:15" x14ac:dyDescent="0.25">
      <c r="A218" s="1">
        <v>175</v>
      </c>
      <c r="B218" s="47">
        <v>45940</v>
      </c>
      <c r="C218" s="66">
        <v>34242196</v>
      </c>
      <c r="D218" s="137">
        <v>84.5</v>
      </c>
      <c r="E218" s="5">
        <v>36.054000000000002</v>
      </c>
      <c r="F218" s="5">
        <v>36.253999999999998</v>
      </c>
      <c r="G218" s="28">
        <f>F218-E218</f>
        <v>0.19999999999999574</v>
      </c>
      <c r="H218" s="16">
        <f t="shared" si="31"/>
        <v>0.17195999999999634</v>
      </c>
      <c r="I218" s="16"/>
      <c r="J218" s="16">
        <f>D218/($E$25-$E$26)*$J$24</f>
        <v>0.38388142956817983</v>
      </c>
      <c r="K218" s="19">
        <f t="shared" si="25"/>
        <v>0.55584142956817617</v>
      </c>
      <c r="M218" s="13" t="s">
        <v>69</v>
      </c>
      <c r="N218" s="12"/>
    </row>
    <row r="219" spans="1:15" x14ac:dyDescent="0.25">
      <c r="A219" s="1">
        <v>176</v>
      </c>
      <c r="B219" s="47">
        <v>45748</v>
      </c>
      <c r="C219" s="66">
        <v>34242199</v>
      </c>
      <c r="D219" s="137">
        <v>56.5</v>
      </c>
      <c r="E219" s="5">
        <v>20.254999999999999</v>
      </c>
      <c r="F219" s="5">
        <v>20.254999999999999</v>
      </c>
      <c r="G219" s="28">
        <f>F219-E219</f>
        <v>0</v>
      </c>
      <c r="H219" s="16">
        <f t="shared" si="31"/>
        <v>0</v>
      </c>
      <c r="I219" s="16"/>
      <c r="J219" s="16">
        <f>D219/($E$25-$E$26)*$J$24</f>
        <v>0.25667811562842796</v>
      </c>
      <c r="K219" s="19">
        <f t="shared" si="25"/>
        <v>0.25667811562842796</v>
      </c>
      <c r="M219" s="13" t="s">
        <v>69</v>
      </c>
      <c r="N219" s="12"/>
    </row>
    <row r="220" spans="1:15" x14ac:dyDescent="0.25">
      <c r="A220" s="1">
        <v>177</v>
      </c>
      <c r="B220" s="47">
        <v>45803</v>
      </c>
      <c r="C220" s="66">
        <v>34242192</v>
      </c>
      <c r="D220" s="137">
        <v>57</v>
      </c>
      <c r="E220" s="5">
        <v>17.712</v>
      </c>
      <c r="F220" s="5">
        <v>17.73</v>
      </c>
      <c r="G220" s="28">
        <f>F220-E220</f>
        <v>1.8000000000000682E-2</v>
      </c>
      <c r="H220" s="16">
        <f t="shared" si="31"/>
        <v>1.5476400000000586E-2</v>
      </c>
      <c r="I220" s="16"/>
      <c r="J220" s="16">
        <f>D220/($E$25-$E$26)*$J$24</f>
        <v>0.25894960337735207</v>
      </c>
      <c r="K220" s="19">
        <f t="shared" si="25"/>
        <v>0.27442600337735268</v>
      </c>
      <c r="M220" s="13" t="s">
        <v>69</v>
      </c>
      <c r="N220" s="12"/>
    </row>
    <row r="221" spans="1:15" x14ac:dyDescent="0.25">
      <c r="A221" s="1">
        <v>178</v>
      </c>
      <c r="B221" s="33"/>
      <c r="C221" s="66">
        <v>34242198</v>
      </c>
      <c r="D221" s="137">
        <v>85.8</v>
      </c>
      <c r="E221" s="5">
        <v>35.417000000000002</v>
      </c>
      <c r="F221" s="5">
        <v>35.417000000000002</v>
      </c>
      <c r="G221" s="28"/>
      <c r="H221" s="16">
        <f t="shared" si="31"/>
        <v>0</v>
      </c>
      <c r="I221" s="16">
        <f>((D221*0.015)*12)/7</f>
        <v>2.206285714285714</v>
      </c>
      <c r="J221" s="16"/>
      <c r="K221" s="19">
        <f t="shared" si="25"/>
        <v>2.206285714285714</v>
      </c>
      <c r="M221" s="13" t="s">
        <v>71</v>
      </c>
      <c r="N221" s="12"/>
    </row>
    <row r="222" spans="1:15" x14ac:dyDescent="0.25">
      <c r="A222" s="1">
        <v>179</v>
      </c>
      <c r="B222" s="47">
        <v>45802</v>
      </c>
      <c r="C222" s="66">
        <v>34242200</v>
      </c>
      <c r="D222" s="137">
        <v>84.7</v>
      </c>
      <c r="E222" s="5">
        <v>65.405000000000001</v>
      </c>
      <c r="F222" s="5">
        <v>66.966999999999999</v>
      </c>
      <c r="G222" s="28">
        <f>F222-E222</f>
        <v>1.5619999999999976</v>
      </c>
      <c r="H222" s="16">
        <f t="shared" si="31"/>
        <v>1.343007599999998</v>
      </c>
      <c r="I222" s="19"/>
      <c r="J222" s="16">
        <f>D222/($E$25-$E$26)*$J$24</f>
        <v>0.38479002466774948</v>
      </c>
      <c r="K222" s="19">
        <f t="shared" si="25"/>
        <v>1.7277976246677476</v>
      </c>
      <c r="M222" s="13" t="s">
        <v>69</v>
      </c>
      <c r="N222" s="12"/>
    </row>
    <row r="223" spans="1:15" x14ac:dyDescent="0.25">
      <c r="A223" s="1">
        <v>180</v>
      </c>
      <c r="B223" s="33"/>
      <c r="C223" s="66">
        <v>34242197</v>
      </c>
      <c r="D223" s="146">
        <v>55.8</v>
      </c>
      <c r="E223" s="5">
        <v>28.088000000000001</v>
      </c>
      <c r="F223" s="5">
        <v>28.972000000000001</v>
      </c>
      <c r="G223" s="5"/>
      <c r="H223" s="16">
        <f t="shared" si="31"/>
        <v>0</v>
      </c>
      <c r="I223" s="16">
        <f t="shared" ref="I223:I232" si="32">((D223*0.015)*12)/7</f>
        <v>1.4348571428571428</v>
      </c>
      <c r="J223" s="16"/>
      <c r="K223" s="19">
        <f t="shared" si="25"/>
        <v>1.4348571428571428</v>
      </c>
      <c r="M223" s="13" t="s">
        <v>71</v>
      </c>
      <c r="N223" s="12"/>
      <c r="O223" s="12"/>
    </row>
    <row r="224" spans="1:15" x14ac:dyDescent="0.25">
      <c r="A224" s="1">
        <v>181</v>
      </c>
      <c r="B224" s="33"/>
      <c r="C224" s="66">
        <v>34242193</v>
      </c>
      <c r="D224" s="146">
        <v>57</v>
      </c>
      <c r="E224" s="5">
        <v>14.512</v>
      </c>
      <c r="F224" s="5">
        <v>14.968</v>
      </c>
      <c r="G224" s="5"/>
      <c r="H224" s="16">
        <f t="shared" si="31"/>
        <v>0</v>
      </c>
      <c r="I224" s="16">
        <f t="shared" si="32"/>
        <v>1.4657142857142857</v>
      </c>
      <c r="J224" s="16"/>
      <c r="K224" s="19">
        <f t="shared" si="25"/>
        <v>1.4657142857142857</v>
      </c>
      <c r="M224" s="13" t="s">
        <v>71</v>
      </c>
      <c r="N224" s="12"/>
      <c r="O224" s="12"/>
    </row>
    <row r="225" spans="1:15" ht="15.75" thickBot="1" x14ac:dyDescent="0.3">
      <c r="A225" s="15">
        <v>182</v>
      </c>
      <c r="B225" s="35"/>
      <c r="C225" s="68">
        <v>34242194</v>
      </c>
      <c r="D225" s="90">
        <v>85.8</v>
      </c>
      <c r="E225" s="8">
        <v>44.502000000000002</v>
      </c>
      <c r="F225" s="8">
        <v>46.277000000000001</v>
      </c>
      <c r="G225" s="8"/>
      <c r="H225" s="91">
        <f t="shared" si="31"/>
        <v>0</v>
      </c>
      <c r="I225" s="16">
        <f t="shared" si="32"/>
        <v>2.206285714285714</v>
      </c>
      <c r="J225" s="16"/>
      <c r="K225" s="19">
        <f t="shared" si="25"/>
        <v>2.206285714285714</v>
      </c>
      <c r="M225" s="13" t="s">
        <v>71</v>
      </c>
      <c r="N225" s="12"/>
      <c r="O225" s="12"/>
    </row>
    <row r="226" spans="1:15" ht="15.75" thickBot="1" x14ac:dyDescent="0.3">
      <c r="A226" s="219" t="s">
        <v>78</v>
      </c>
      <c r="B226" s="220"/>
      <c r="C226" s="220"/>
      <c r="D226" s="92">
        <f>SUM(D174:D225)</f>
        <v>3672.6000000000013</v>
      </c>
      <c r="E226" s="221" t="s">
        <v>79</v>
      </c>
      <c r="F226" s="221"/>
      <c r="G226" s="221"/>
      <c r="H226" s="64">
        <f>SUM(H174:H225)</f>
        <v>20.461559399999995</v>
      </c>
      <c r="I226" s="64">
        <f>SUM(I174:I225)</f>
        <v>24.783428571428569</v>
      </c>
      <c r="J226" s="64">
        <f>SUM(J174:J225)</f>
        <v>12.306012028571432</v>
      </c>
      <c r="K226" s="93">
        <f>SUM(K174:K225)</f>
        <v>57.550999999999974</v>
      </c>
      <c r="M226" s="13"/>
    </row>
    <row r="227" spans="1:15" x14ac:dyDescent="0.25">
      <c r="A227" s="9">
        <v>183</v>
      </c>
      <c r="B227" s="37"/>
      <c r="C227" s="69">
        <v>34242339</v>
      </c>
      <c r="D227" s="151">
        <v>117.2</v>
      </c>
      <c r="E227" s="6">
        <v>61.398000000000003</v>
      </c>
      <c r="F227" s="6">
        <v>63.238</v>
      </c>
      <c r="G227" s="6"/>
      <c r="H227" s="19">
        <f t="shared" si="31"/>
        <v>0</v>
      </c>
      <c r="I227" s="16">
        <f t="shared" si="32"/>
        <v>3.0137142857142858</v>
      </c>
      <c r="J227" s="16">
        <f t="shared" ref="J227:J230" si="33">D227/($E$32-$E$34)*$J$31</f>
        <v>-0.49383028209977242</v>
      </c>
      <c r="K227" s="19">
        <f>H227+I227+J227</f>
        <v>2.5198840036145134</v>
      </c>
      <c r="M227" s="13" t="s">
        <v>71</v>
      </c>
    </row>
    <row r="228" spans="1:15" x14ac:dyDescent="0.25">
      <c r="A228" s="1">
        <v>184</v>
      </c>
      <c r="B228" s="33"/>
      <c r="C228" s="66">
        <v>34242341</v>
      </c>
      <c r="D228" s="146">
        <v>58.1</v>
      </c>
      <c r="E228" s="5">
        <v>36.072000000000003</v>
      </c>
      <c r="F228" s="5">
        <v>37.411999999999999</v>
      </c>
      <c r="G228" s="5"/>
      <c r="H228" s="16">
        <f t="shared" si="31"/>
        <v>0</v>
      </c>
      <c r="I228" s="16">
        <f t="shared" si="32"/>
        <v>1.4939999999999998</v>
      </c>
      <c r="J228" s="16">
        <f t="shared" si="33"/>
        <v>-0.24480835656993835</v>
      </c>
      <c r="K228" s="19">
        <f t="shared" ref="K228:K291" si="34">H228+I228+J228</f>
        <v>1.2491916434300614</v>
      </c>
      <c r="M228" s="13" t="s">
        <v>71</v>
      </c>
    </row>
    <row r="229" spans="1:15" x14ac:dyDescent="0.25">
      <c r="A229" s="1">
        <v>185</v>
      </c>
      <c r="B229" s="33"/>
      <c r="C229" s="66">
        <v>34242160</v>
      </c>
      <c r="D229" s="146">
        <v>58.4</v>
      </c>
      <c r="E229" s="5">
        <v>14.632</v>
      </c>
      <c r="F229" s="5">
        <v>14.632</v>
      </c>
      <c r="G229" s="5"/>
      <c r="H229" s="16">
        <f t="shared" si="31"/>
        <v>0</v>
      </c>
      <c r="I229" s="16">
        <f t="shared" si="32"/>
        <v>1.5017142857142858</v>
      </c>
      <c r="J229" s="16">
        <f t="shared" si="33"/>
        <v>-0.24607242725790707</v>
      </c>
      <c r="K229" s="19">
        <f t="shared" si="34"/>
        <v>1.2556418584563787</v>
      </c>
      <c r="M229" s="13" t="s">
        <v>71</v>
      </c>
    </row>
    <row r="230" spans="1:15" x14ac:dyDescent="0.25">
      <c r="A230" s="1">
        <v>186</v>
      </c>
      <c r="B230" s="33"/>
      <c r="C230" s="66">
        <v>43441091</v>
      </c>
      <c r="D230" s="146">
        <v>46.7</v>
      </c>
      <c r="E230" s="5">
        <v>35.506999999999998</v>
      </c>
      <c r="F230" s="5">
        <v>36.917000000000002</v>
      </c>
      <c r="G230" s="5"/>
      <c r="H230" s="16">
        <f t="shared" si="31"/>
        <v>0</v>
      </c>
      <c r="I230" s="16">
        <f t="shared" si="32"/>
        <v>1.2008571428571428</v>
      </c>
      <c r="J230" s="16">
        <f t="shared" si="33"/>
        <v>-0.19677367042712773</v>
      </c>
      <c r="K230" s="19">
        <f t="shared" si="34"/>
        <v>1.0040834724300152</v>
      </c>
      <c r="M230" s="13" t="s">
        <v>71</v>
      </c>
    </row>
    <row r="231" spans="1:15" x14ac:dyDescent="0.25">
      <c r="A231" s="1">
        <v>187</v>
      </c>
      <c r="B231" s="47">
        <v>45654</v>
      </c>
      <c r="C231" s="66">
        <v>34242342</v>
      </c>
      <c r="D231" s="146">
        <v>77.400000000000006</v>
      </c>
      <c r="E231" s="5">
        <v>50.603999999999999</v>
      </c>
      <c r="F231" s="5">
        <v>51.402999999999999</v>
      </c>
      <c r="G231" s="5">
        <f>F231-E231</f>
        <v>0.79899999999999949</v>
      </c>
      <c r="H231" s="16">
        <f>G231*0.8598</f>
        <v>0.6869801999999996</v>
      </c>
      <c r="I231" s="19"/>
      <c r="J231" s="16"/>
      <c r="K231" s="19">
        <f t="shared" si="34"/>
        <v>0.6869801999999996</v>
      </c>
      <c r="M231" s="13" t="s">
        <v>69</v>
      </c>
    </row>
    <row r="232" spans="1:15" x14ac:dyDescent="0.25">
      <c r="A232" s="1">
        <v>188</v>
      </c>
      <c r="B232" s="34"/>
      <c r="C232" s="66">
        <v>34242334</v>
      </c>
      <c r="D232" s="146">
        <v>117.2</v>
      </c>
      <c r="E232" s="5">
        <v>44.271000000000001</v>
      </c>
      <c r="F232" s="5">
        <v>46.079000000000001</v>
      </c>
      <c r="G232" s="5"/>
      <c r="H232" s="16">
        <f t="shared" si="31"/>
        <v>0</v>
      </c>
      <c r="I232" s="16">
        <f t="shared" si="32"/>
        <v>3.0137142857142858</v>
      </c>
      <c r="J232" s="16">
        <f>D232/($E$32-$E$34)*$J$31</f>
        <v>-0.49383028209977242</v>
      </c>
      <c r="K232" s="19">
        <f t="shared" si="34"/>
        <v>2.5198840036145134</v>
      </c>
      <c r="M232" s="13" t="s">
        <v>71</v>
      </c>
    </row>
    <row r="233" spans="1:15" x14ac:dyDescent="0.25">
      <c r="A233" s="1">
        <v>189</v>
      </c>
      <c r="B233" s="47">
        <v>45566</v>
      </c>
      <c r="C233" s="49" t="s">
        <v>89</v>
      </c>
      <c r="D233" s="146">
        <v>58.7</v>
      </c>
      <c r="E233" s="39">
        <v>6.3272000000000004</v>
      </c>
      <c r="F233" s="39">
        <v>6.9048999999999996</v>
      </c>
      <c r="G233" s="5"/>
      <c r="H233" s="16">
        <f>F233-E233</f>
        <v>0.57769999999999921</v>
      </c>
      <c r="I233" s="19"/>
      <c r="J233" s="16"/>
      <c r="K233" s="19">
        <f t="shared" si="34"/>
        <v>0.57769999999999921</v>
      </c>
      <c r="M233" s="13" t="s">
        <v>69</v>
      </c>
    </row>
    <row r="234" spans="1:15" x14ac:dyDescent="0.25">
      <c r="A234" s="1">
        <v>190</v>
      </c>
      <c r="B234" s="48">
        <v>45704</v>
      </c>
      <c r="C234" s="66">
        <v>34242340</v>
      </c>
      <c r="D234" s="146">
        <v>58.2</v>
      </c>
      <c r="E234" s="5">
        <v>37.976999999999997</v>
      </c>
      <c r="F234" s="5">
        <v>38.774000000000001</v>
      </c>
      <c r="G234" s="5">
        <f>F234-E234</f>
        <v>0.79700000000000415</v>
      </c>
      <c r="H234" s="16">
        <f t="shared" si="31"/>
        <v>0.68526060000000355</v>
      </c>
      <c r="I234" s="19"/>
      <c r="J234" s="16"/>
      <c r="K234" s="19">
        <f t="shared" si="34"/>
        <v>0.68526060000000355</v>
      </c>
      <c r="M234" s="13" t="s">
        <v>69</v>
      </c>
    </row>
    <row r="235" spans="1:15" x14ac:dyDescent="0.25">
      <c r="A235" s="1">
        <v>191</v>
      </c>
      <c r="B235" s="47">
        <v>45668</v>
      </c>
      <c r="C235" s="10" t="s">
        <v>93</v>
      </c>
      <c r="D235" s="146">
        <v>46.6</v>
      </c>
      <c r="E235" s="5">
        <v>0.214</v>
      </c>
      <c r="F235" s="5">
        <v>0.24199999999999999</v>
      </c>
      <c r="G235" s="58"/>
      <c r="H235" s="16">
        <f>F235-E235</f>
        <v>2.7999999999999997E-2</v>
      </c>
      <c r="I235" s="16"/>
      <c r="J235" s="16"/>
      <c r="K235" s="19">
        <f>H235+I235+J235</f>
        <v>2.7999999999999997E-2</v>
      </c>
      <c r="M235" s="13" t="s">
        <v>69</v>
      </c>
    </row>
    <row r="236" spans="1:15" x14ac:dyDescent="0.25">
      <c r="A236" s="1">
        <v>192</v>
      </c>
      <c r="B236" s="33" t="s">
        <v>59</v>
      </c>
      <c r="C236" s="10" t="s">
        <v>80</v>
      </c>
      <c r="D236" s="137">
        <v>77.3</v>
      </c>
      <c r="E236" s="39">
        <v>2.98</v>
      </c>
      <c r="F236" s="39">
        <v>3.0409999999999999</v>
      </c>
      <c r="G236" s="28"/>
      <c r="H236" s="16">
        <f>F236-E236</f>
        <v>6.0999999999999943E-2</v>
      </c>
      <c r="I236" s="19"/>
      <c r="J236" s="16"/>
      <c r="K236" s="19">
        <f>H236+I236+J236</f>
        <v>6.0999999999999943E-2</v>
      </c>
      <c r="M236" s="13" t="s">
        <v>69</v>
      </c>
    </row>
    <row r="237" spans="1:15" x14ac:dyDescent="0.25">
      <c r="A237" s="1">
        <v>193</v>
      </c>
      <c r="B237" s="47">
        <v>45741</v>
      </c>
      <c r="C237" s="66">
        <v>34242324</v>
      </c>
      <c r="D237" s="137">
        <v>116.7</v>
      </c>
      <c r="E237" s="5">
        <v>11.222</v>
      </c>
      <c r="F237" s="5">
        <v>11.222</v>
      </c>
      <c r="G237" s="28">
        <f>F237-E237</f>
        <v>0</v>
      </c>
      <c r="H237" s="16">
        <f t="shared" si="31"/>
        <v>0</v>
      </c>
      <c r="I237" s="16"/>
      <c r="J237" s="16"/>
      <c r="K237" s="19">
        <f t="shared" si="34"/>
        <v>0</v>
      </c>
      <c r="M237" s="13" t="s">
        <v>69</v>
      </c>
    </row>
    <row r="238" spans="1:15" x14ac:dyDescent="0.25">
      <c r="A238" s="42">
        <v>194</v>
      </c>
      <c r="B238" s="34"/>
      <c r="C238" s="70">
        <v>34242331</v>
      </c>
      <c r="D238" s="59">
        <v>58</v>
      </c>
      <c r="E238" s="5">
        <v>4.4710000000000001</v>
      </c>
      <c r="F238" s="5">
        <v>4.4710000000000001</v>
      </c>
      <c r="G238" s="28"/>
      <c r="H238" s="16">
        <f t="shared" si="31"/>
        <v>0</v>
      </c>
      <c r="I238" s="16">
        <f>((D238*0.015)*12)/7</f>
        <v>1.4914285714285713</v>
      </c>
      <c r="J238" s="16">
        <f>D238/($E$32-$E$34)*$J$31</f>
        <v>-0.24438699967394881</v>
      </c>
      <c r="K238" s="19">
        <f t="shared" si="34"/>
        <v>1.2470415717546226</v>
      </c>
      <c r="M238" s="13" t="s">
        <v>71</v>
      </c>
    </row>
    <row r="239" spans="1:15" x14ac:dyDescent="0.25">
      <c r="A239" s="1">
        <v>195</v>
      </c>
      <c r="B239" s="47">
        <v>45553</v>
      </c>
      <c r="C239" s="10" t="s">
        <v>98</v>
      </c>
      <c r="D239" s="137">
        <v>58.1</v>
      </c>
      <c r="E239" s="39">
        <v>2.7519999999999998</v>
      </c>
      <c r="F239" s="39">
        <v>2.9790000000000001</v>
      </c>
      <c r="G239" s="28"/>
      <c r="H239" s="16">
        <f>F239-E239</f>
        <v>0.22700000000000031</v>
      </c>
      <c r="I239" s="19"/>
      <c r="J239" s="16"/>
      <c r="K239" s="19">
        <f>H239+I239+J239</f>
        <v>0.22700000000000031</v>
      </c>
      <c r="M239" s="13" t="s">
        <v>69</v>
      </c>
    </row>
    <row r="240" spans="1:15" x14ac:dyDescent="0.25">
      <c r="A240" s="1">
        <v>196</v>
      </c>
      <c r="B240" s="47">
        <v>45553</v>
      </c>
      <c r="C240" s="10" t="s">
        <v>99</v>
      </c>
      <c r="D240" s="137">
        <v>46.7</v>
      </c>
      <c r="E240" s="39">
        <v>1.5980000000000001</v>
      </c>
      <c r="F240" s="39">
        <v>1.776</v>
      </c>
      <c r="G240" s="28"/>
      <c r="H240" s="16">
        <f>F240-E240</f>
        <v>0.17799999999999994</v>
      </c>
      <c r="I240" s="19"/>
      <c r="J240" s="16"/>
      <c r="K240" s="19">
        <f t="shared" si="34"/>
        <v>0.17799999999999994</v>
      </c>
      <c r="L240" s="24"/>
      <c r="M240" s="13" t="s">
        <v>69</v>
      </c>
    </row>
    <row r="241" spans="1:13" x14ac:dyDescent="0.25">
      <c r="A241" s="9">
        <v>197</v>
      </c>
      <c r="B241" s="105">
        <v>45955</v>
      </c>
      <c r="C241" s="69" t="s">
        <v>114</v>
      </c>
      <c r="D241" s="144">
        <v>77.5</v>
      </c>
      <c r="E241" s="39">
        <v>4.7533000000000003</v>
      </c>
      <c r="F241" s="39">
        <v>6.1916000000000002</v>
      </c>
      <c r="G241" s="28"/>
      <c r="H241" s="16">
        <f>F241-E241</f>
        <v>1.4382999999999999</v>
      </c>
      <c r="I241" s="16"/>
      <c r="J241" s="16"/>
      <c r="K241" s="19">
        <f t="shared" si="34"/>
        <v>1.4382999999999999</v>
      </c>
      <c r="L241" s="24"/>
      <c r="M241" s="13" t="s">
        <v>69</v>
      </c>
    </row>
    <row r="242" spans="1:13" x14ac:dyDescent="0.25">
      <c r="A242" s="1">
        <v>198</v>
      </c>
      <c r="B242" s="47">
        <v>45900</v>
      </c>
      <c r="C242" s="66">
        <v>34242333</v>
      </c>
      <c r="D242" s="137">
        <v>116.5</v>
      </c>
      <c r="E242" s="5">
        <v>38.034999999999997</v>
      </c>
      <c r="F242" s="5">
        <v>38.831000000000003</v>
      </c>
      <c r="G242" s="28">
        <f>F242-E242</f>
        <v>0.79600000000000648</v>
      </c>
      <c r="H242" s="16">
        <f t="shared" ref="H242:H263" si="35">G242*0.8598</f>
        <v>0.68440080000000558</v>
      </c>
      <c r="I242" s="19"/>
      <c r="J242" s="16"/>
      <c r="K242" s="19">
        <f t="shared" si="34"/>
        <v>0.68440080000000558</v>
      </c>
      <c r="L242" s="24"/>
      <c r="M242" s="13" t="s">
        <v>69</v>
      </c>
    </row>
    <row r="243" spans="1:13" x14ac:dyDescent="0.25">
      <c r="A243" s="1">
        <v>199</v>
      </c>
      <c r="B243" s="33"/>
      <c r="C243" s="66">
        <v>34242330</v>
      </c>
      <c r="D243" s="137">
        <v>58.8</v>
      </c>
      <c r="E243" s="5">
        <v>44.265999999999998</v>
      </c>
      <c r="F243" s="5">
        <v>45.415999999999997</v>
      </c>
      <c r="G243" s="28"/>
      <c r="H243" s="16">
        <f t="shared" si="35"/>
        <v>0</v>
      </c>
      <c r="I243" s="16">
        <f>((D243*0.015)*12)/7</f>
        <v>1.512</v>
      </c>
      <c r="J243" s="16">
        <f>D243/($E$32-$E$34)*$J$31</f>
        <v>-0.24775785484186533</v>
      </c>
      <c r="K243" s="19">
        <f t="shared" si="34"/>
        <v>1.2642421451581347</v>
      </c>
      <c r="M243" s="13" t="s">
        <v>71</v>
      </c>
    </row>
    <row r="244" spans="1:13" x14ac:dyDescent="0.25">
      <c r="A244" s="1">
        <v>200</v>
      </c>
      <c r="B244" s="47">
        <v>45873</v>
      </c>
      <c r="C244" s="66">
        <v>34242329</v>
      </c>
      <c r="D244" s="137">
        <v>58.6</v>
      </c>
      <c r="E244" s="5">
        <v>6.6859999999999999</v>
      </c>
      <c r="F244" s="5">
        <v>7.2939999999999996</v>
      </c>
      <c r="G244" s="28">
        <f>F244-E244</f>
        <v>0.60799999999999965</v>
      </c>
      <c r="H244" s="16">
        <f t="shared" si="35"/>
        <v>0.52275839999999973</v>
      </c>
      <c r="I244" s="16"/>
      <c r="J244" s="16"/>
      <c r="K244" s="19">
        <f t="shared" si="34"/>
        <v>0.52275839999999973</v>
      </c>
      <c r="M244" s="13" t="s">
        <v>69</v>
      </c>
    </row>
    <row r="245" spans="1:13" x14ac:dyDescent="0.25">
      <c r="A245" s="1">
        <v>201</v>
      </c>
      <c r="B245" s="47">
        <v>45650</v>
      </c>
      <c r="C245" s="66">
        <v>34242326</v>
      </c>
      <c r="D245" s="137">
        <v>46.4</v>
      </c>
      <c r="E245" s="5">
        <v>34.927</v>
      </c>
      <c r="F245" s="5">
        <v>35.353000000000002</v>
      </c>
      <c r="G245" s="28">
        <f>F245-E245</f>
        <v>0.42600000000000193</v>
      </c>
      <c r="H245" s="16">
        <f>G245*0.8598</f>
        <v>0.36627480000000168</v>
      </c>
      <c r="I245" s="19"/>
      <c r="J245" s="16"/>
      <c r="K245" s="19">
        <f t="shared" si="34"/>
        <v>0.36627480000000168</v>
      </c>
      <c r="M245" s="13" t="s">
        <v>69</v>
      </c>
    </row>
    <row r="246" spans="1:13" x14ac:dyDescent="0.25">
      <c r="A246" s="1">
        <v>202</v>
      </c>
      <c r="B246" s="33" t="s">
        <v>59</v>
      </c>
      <c r="C246" s="94" t="s">
        <v>60</v>
      </c>
      <c r="D246" s="137">
        <v>77.5</v>
      </c>
      <c r="E246" s="39">
        <v>14.206</v>
      </c>
      <c r="F246" s="39">
        <v>15.425000000000001</v>
      </c>
      <c r="G246" s="58"/>
      <c r="H246" s="16">
        <f>F246-E246</f>
        <v>1.2190000000000012</v>
      </c>
      <c r="I246" s="19"/>
      <c r="J246" s="16"/>
      <c r="K246" s="19">
        <f>H246+I246+J246</f>
        <v>1.2190000000000012</v>
      </c>
      <c r="M246" s="13" t="s">
        <v>69</v>
      </c>
    </row>
    <row r="247" spans="1:13" x14ac:dyDescent="0.25">
      <c r="A247" s="1">
        <v>203</v>
      </c>
      <c r="B247" s="33"/>
      <c r="C247" s="66">
        <v>43441405</v>
      </c>
      <c r="D247" s="137">
        <v>117.4</v>
      </c>
      <c r="E247" s="5">
        <v>59.481999999999999</v>
      </c>
      <c r="F247" s="5">
        <v>61.128</v>
      </c>
      <c r="G247" s="28"/>
      <c r="H247" s="16">
        <f t="shared" si="35"/>
        <v>0</v>
      </c>
      <c r="I247" s="16">
        <f>((D247*0.015)*12)/7</f>
        <v>3.0188571428571431</v>
      </c>
      <c r="J247" s="16">
        <f t="shared" ref="J247:J251" si="36">D247/($E$32-$E$34)*$J$31</f>
        <v>-0.49467299589175157</v>
      </c>
      <c r="K247" s="19">
        <f t="shared" si="34"/>
        <v>2.5241841469653914</v>
      </c>
      <c r="M247" s="13" t="s">
        <v>71</v>
      </c>
    </row>
    <row r="248" spans="1:13" x14ac:dyDescent="0.25">
      <c r="A248" s="1">
        <v>204</v>
      </c>
      <c r="B248" s="33"/>
      <c r="C248" s="66">
        <v>43441406</v>
      </c>
      <c r="D248" s="137">
        <v>57.9</v>
      </c>
      <c r="E248" s="5">
        <v>7.2990000000000004</v>
      </c>
      <c r="F248" s="5">
        <v>7.3760000000000003</v>
      </c>
      <c r="G248" s="28"/>
      <c r="H248" s="16">
        <f t="shared" si="35"/>
        <v>0</v>
      </c>
      <c r="I248" s="16">
        <f>((D248*0.015)*12)/7</f>
        <v>1.4888571428571427</v>
      </c>
      <c r="J248" s="16">
        <f t="shared" si="36"/>
        <v>-0.24396564277795924</v>
      </c>
      <c r="K248" s="19">
        <f t="shared" si="34"/>
        <v>1.2448915000791834</v>
      </c>
      <c r="M248" s="13" t="s">
        <v>71</v>
      </c>
    </row>
    <row r="249" spans="1:13" x14ac:dyDescent="0.25">
      <c r="A249" s="1">
        <v>205</v>
      </c>
      <c r="B249" s="33"/>
      <c r="C249" s="66">
        <v>43441089</v>
      </c>
      <c r="D249" s="137">
        <v>58.3</v>
      </c>
      <c r="E249" s="5">
        <v>33.584000000000003</v>
      </c>
      <c r="F249" s="5">
        <v>34.665999999999997</v>
      </c>
      <c r="G249" s="28"/>
      <c r="H249" s="16">
        <f t="shared" si="35"/>
        <v>0</v>
      </c>
      <c r="I249" s="16">
        <f>((D249*0.015)*12)/7</f>
        <v>1.4991428571428571</v>
      </c>
      <c r="J249" s="16">
        <f t="shared" si="36"/>
        <v>-0.2456510703619175</v>
      </c>
      <c r="K249" s="19">
        <f t="shared" si="34"/>
        <v>1.2534917867809396</v>
      </c>
      <c r="M249" s="13" t="s">
        <v>71</v>
      </c>
    </row>
    <row r="250" spans="1:13" x14ac:dyDescent="0.25">
      <c r="A250" s="1">
        <v>206</v>
      </c>
      <c r="B250" s="34"/>
      <c r="C250" s="66">
        <v>20242434</v>
      </c>
      <c r="D250" s="137">
        <v>46.3</v>
      </c>
      <c r="E250" s="5">
        <v>16.254999999999999</v>
      </c>
      <c r="F250" s="5">
        <v>17.347000000000001</v>
      </c>
      <c r="G250" s="28"/>
      <c r="H250" s="16">
        <f t="shared" si="35"/>
        <v>0</v>
      </c>
      <c r="I250" s="16">
        <f>((D250*0.015)*12)/7</f>
        <v>1.1905714285714286</v>
      </c>
      <c r="J250" s="16">
        <f t="shared" si="36"/>
        <v>-0.19508824284316947</v>
      </c>
      <c r="K250" s="19">
        <f t="shared" si="34"/>
        <v>0.99548318572825911</v>
      </c>
      <c r="M250" s="13" t="s">
        <v>71</v>
      </c>
    </row>
    <row r="251" spans="1:13" x14ac:dyDescent="0.25">
      <c r="A251" s="1">
        <v>207</v>
      </c>
      <c r="B251" s="33"/>
      <c r="C251" s="66">
        <v>43441407</v>
      </c>
      <c r="D251" s="137">
        <v>77.900000000000006</v>
      </c>
      <c r="E251" s="5">
        <v>26.331</v>
      </c>
      <c r="F251" s="5">
        <v>27.616</v>
      </c>
      <c r="G251" s="28"/>
      <c r="H251" s="16">
        <f t="shared" si="35"/>
        <v>0</v>
      </c>
      <c r="I251" s="16">
        <f>((D251*0.015)*12)/7</f>
        <v>2.0031428571428576</v>
      </c>
      <c r="J251" s="16">
        <f t="shared" si="36"/>
        <v>-0.32823702197587262</v>
      </c>
      <c r="K251" s="19">
        <f t="shared" si="34"/>
        <v>1.674905835166985</v>
      </c>
      <c r="M251" s="13" t="s">
        <v>71</v>
      </c>
    </row>
    <row r="252" spans="1:13" x14ac:dyDescent="0.25">
      <c r="A252" s="1">
        <v>208</v>
      </c>
      <c r="B252" s="47">
        <v>45915</v>
      </c>
      <c r="C252" s="66">
        <v>43441412</v>
      </c>
      <c r="D252" s="137">
        <v>117.9</v>
      </c>
      <c r="E252" s="5">
        <v>47.844999999999999</v>
      </c>
      <c r="F252" s="5">
        <v>49.119</v>
      </c>
      <c r="G252" s="28">
        <f>F252-E252</f>
        <v>1.2740000000000009</v>
      </c>
      <c r="H252" s="16">
        <f>G252*0.8598</f>
        <v>1.0953852000000008</v>
      </c>
      <c r="I252" s="16"/>
      <c r="J252" s="16"/>
      <c r="K252" s="19">
        <f>H252+I252+J252</f>
        <v>1.0953852000000008</v>
      </c>
      <c r="M252" s="13" t="s">
        <v>69</v>
      </c>
    </row>
    <row r="253" spans="1:13" x14ac:dyDescent="0.25">
      <c r="A253" s="1">
        <v>209</v>
      </c>
      <c r="B253" s="53"/>
      <c r="C253" s="66">
        <v>43441411</v>
      </c>
      <c r="D253" s="137">
        <v>58.2</v>
      </c>
      <c r="E253" s="5">
        <v>26.684999999999999</v>
      </c>
      <c r="F253" s="5">
        <v>27.541</v>
      </c>
      <c r="G253" s="28"/>
      <c r="H253" s="16">
        <f t="shared" si="35"/>
        <v>0</v>
      </c>
      <c r="I253" s="16">
        <f>((D253*0.015)*12)/7</f>
        <v>1.4965714285714284</v>
      </c>
      <c r="J253" s="16">
        <f t="shared" ref="J253:J256" si="37">D253/($E$32-$E$34)*$J$31</f>
        <v>-0.24522971346592792</v>
      </c>
      <c r="K253" s="19">
        <f t="shared" si="34"/>
        <v>1.2513417151055006</v>
      </c>
      <c r="M253" s="13" t="s">
        <v>71</v>
      </c>
    </row>
    <row r="254" spans="1:13" x14ac:dyDescent="0.25">
      <c r="A254" s="1">
        <v>210</v>
      </c>
      <c r="B254" s="33"/>
      <c r="C254" s="66">
        <v>43441408</v>
      </c>
      <c r="D254" s="137">
        <v>58.6</v>
      </c>
      <c r="E254" s="5">
        <v>6.0659999999999998</v>
      </c>
      <c r="F254" s="5">
        <v>6.0659999999999998</v>
      </c>
      <c r="G254" s="28"/>
      <c r="H254" s="16">
        <f t="shared" si="35"/>
        <v>0</v>
      </c>
      <c r="I254" s="16">
        <f>((D254*0.015)*12)/7</f>
        <v>1.5068571428571429</v>
      </c>
      <c r="J254" s="16">
        <f t="shared" si="37"/>
        <v>-0.24691514104988621</v>
      </c>
      <c r="K254" s="19">
        <f t="shared" si="34"/>
        <v>1.2599420018072567</v>
      </c>
      <c r="M254" s="13" t="s">
        <v>71</v>
      </c>
    </row>
    <row r="255" spans="1:13" x14ac:dyDescent="0.25">
      <c r="A255" s="1">
        <v>211</v>
      </c>
      <c r="B255" s="33"/>
      <c r="C255" s="66">
        <v>43441409</v>
      </c>
      <c r="D255" s="137">
        <v>46.7</v>
      </c>
      <c r="E255" s="5">
        <v>30.13</v>
      </c>
      <c r="F255" s="5">
        <v>30.995999999999999</v>
      </c>
      <c r="G255" s="28"/>
      <c r="H255" s="16">
        <f t="shared" si="35"/>
        <v>0</v>
      </c>
      <c r="I255" s="16">
        <f>((D255*0.015)*12)/7</f>
        <v>1.2008571428571428</v>
      </c>
      <c r="J255" s="16">
        <f t="shared" si="37"/>
        <v>-0.19677367042712773</v>
      </c>
      <c r="K255" s="19">
        <f t="shared" si="34"/>
        <v>1.0040834724300152</v>
      </c>
      <c r="M255" s="13" t="s">
        <v>71</v>
      </c>
    </row>
    <row r="256" spans="1:13" x14ac:dyDescent="0.25">
      <c r="A256" s="1">
        <v>212</v>
      </c>
      <c r="B256" s="33"/>
      <c r="C256" s="66">
        <v>43441410</v>
      </c>
      <c r="D256" s="137">
        <v>78.599999999999994</v>
      </c>
      <c r="E256" s="5">
        <v>42.527000000000001</v>
      </c>
      <c r="F256" s="5">
        <v>42.978999999999999</v>
      </c>
      <c r="G256" s="28"/>
      <c r="H256" s="16">
        <f t="shared" si="35"/>
        <v>0</v>
      </c>
      <c r="I256" s="16">
        <f>((D256*0.015)*12)/7</f>
        <v>2.0211428571428569</v>
      </c>
      <c r="J256" s="16">
        <f t="shared" si="37"/>
        <v>-0.3311865202477996</v>
      </c>
      <c r="K256" s="19">
        <f t="shared" si="34"/>
        <v>1.6899563368950572</v>
      </c>
      <c r="M256" s="13" t="s">
        <v>71</v>
      </c>
    </row>
    <row r="257" spans="1:13" x14ac:dyDescent="0.25">
      <c r="A257" s="1">
        <v>213</v>
      </c>
      <c r="B257" s="47">
        <v>45803</v>
      </c>
      <c r="C257" s="66">
        <v>43441403</v>
      </c>
      <c r="D257" s="137">
        <v>117.8</v>
      </c>
      <c r="E257" s="5">
        <v>48.542999999999999</v>
      </c>
      <c r="F257" s="5">
        <v>49.448</v>
      </c>
      <c r="G257" s="28">
        <f>F257-E257</f>
        <v>0.90500000000000114</v>
      </c>
      <c r="H257" s="16">
        <f t="shared" si="35"/>
        <v>0.778119000000001</v>
      </c>
      <c r="I257" s="19"/>
      <c r="J257" s="16"/>
      <c r="K257" s="19">
        <f t="shared" si="34"/>
        <v>0.778119000000001</v>
      </c>
      <c r="M257" s="13" t="s">
        <v>69</v>
      </c>
    </row>
    <row r="258" spans="1:13" x14ac:dyDescent="0.25">
      <c r="A258" s="1">
        <v>214</v>
      </c>
      <c r="B258" s="33"/>
      <c r="C258" s="66">
        <v>43441398</v>
      </c>
      <c r="D258" s="137">
        <v>57.8</v>
      </c>
      <c r="E258" s="5">
        <v>16.146000000000001</v>
      </c>
      <c r="F258" s="5">
        <v>16.257000000000001</v>
      </c>
      <c r="G258" s="28"/>
      <c r="H258" s="16">
        <f t="shared" si="35"/>
        <v>0</v>
      </c>
      <c r="I258" s="16">
        <f>((D258*0.015)*12)/7</f>
        <v>1.486285714285714</v>
      </c>
      <c r="J258" s="16">
        <f t="shared" ref="J258:J259" si="38">D258/($E$32-$E$34)*$J$31</f>
        <v>-0.24354428588196966</v>
      </c>
      <c r="K258" s="19">
        <f t="shared" si="34"/>
        <v>1.2427414284037444</v>
      </c>
      <c r="M258" s="13" t="s">
        <v>71</v>
      </c>
    </row>
    <row r="259" spans="1:13" x14ac:dyDescent="0.25">
      <c r="A259" s="1">
        <v>215</v>
      </c>
      <c r="B259" s="33"/>
      <c r="C259" s="66">
        <v>43441413</v>
      </c>
      <c r="D259" s="137">
        <v>58.8</v>
      </c>
      <c r="E259" s="5">
        <v>29.207999999999998</v>
      </c>
      <c r="F259" s="5">
        <v>29.366</v>
      </c>
      <c r="G259" s="28"/>
      <c r="H259" s="16">
        <f t="shared" si="35"/>
        <v>0</v>
      </c>
      <c r="I259" s="16">
        <f>((D259*0.015)*12)/7</f>
        <v>1.512</v>
      </c>
      <c r="J259" s="16">
        <f t="shared" si="38"/>
        <v>-0.24775785484186533</v>
      </c>
      <c r="K259" s="19">
        <f t="shared" si="34"/>
        <v>1.2642421451581347</v>
      </c>
      <c r="M259" s="13" t="s">
        <v>71</v>
      </c>
    </row>
    <row r="260" spans="1:13" x14ac:dyDescent="0.25">
      <c r="A260" s="1">
        <v>216</v>
      </c>
      <c r="B260" s="47">
        <v>45939</v>
      </c>
      <c r="C260" s="66">
        <v>43441401</v>
      </c>
      <c r="D260" s="137">
        <v>46.6</v>
      </c>
      <c r="E260" s="5">
        <v>41.018000000000001</v>
      </c>
      <c r="F260" s="5">
        <v>41.551000000000002</v>
      </c>
      <c r="G260" s="28">
        <f>F260-E260</f>
        <v>0.53300000000000125</v>
      </c>
      <c r="H260" s="16">
        <f t="shared" si="35"/>
        <v>0.45827340000000105</v>
      </c>
      <c r="I260" s="19"/>
      <c r="J260" s="16"/>
      <c r="K260" s="19">
        <f t="shared" si="34"/>
        <v>0.45827340000000105</v>
      </c>
      <c r="M260" s="13" t="s">
        <v>69</v>
      </c>
    </row>
    <row r="261" spans="1:13" x14ac:dyDescent="0.25">
      <c r="A261" s="1">
        <v>217</v>
      </c>
      <c r="B261" s="33"/>
      <c r="C261" s="66">
        <v>43441404</v>
      </c>
      <c r="D261" s="137">
        <v>78.400000000000006</v>
      </c>
      <c r="E261" s="5">
        <v>38.036999999999999</v>
      </c>
      <c r="F261" s="5">
        <v>39.124000000000002</v>
      </c>
      <c r="G261" s="28"/>
      <c r="H261" s="16">
        <f t="shared" si="35"/>
        <v>0</v>
      </c>
      <c r="I261" s="16">
        <f>((D261*0.015)*12)/7</f>
        <v>2.0159999999999996</v>
      </c>
      <c r="J261" s="16">
        <f>D261/($E$32-$E$34)*$J$31</f>
        <v>-0.33034380645582045</v>
      </c>
      <c r="K261" s="19">
        <f t="shared" si="34"/>
        <v>1.6856561935441792</v>
      </c>
      <c r="M261" s="13" t="s">
        <v>71</v>
      </c>
    </row>
    <row r="262" spans="1:13" x14ac:dyDescent="0.25">
      <c r="A262" s="1">
        <v>218</v>
      </c>
      <c r="B262" s="47">
        <v>45896</v>
      </c>
      <c r="C262" s="66">
        <v>43441396</v>
      </c>
      <c r="D262" s="137">
        <v>118.2</v>
      </c>
      <c r="E262" s="5">
        <v>19.77</v>
      </c>
      <c r="F262" s="5">
        <v>21.102</v>
      </c>
      <c r="G262" s="28">
        <f>F262-E262</f>
        <v>1.3320000000000007</v>
      </c>
      <c r="H262" s="16">
        <f t="shared" si="35"/>
        <v>1.1452536000000006</v>
      </c>
      <c r="I262" s="16"/>
      <c r="J262" s="16"/>
      <c r="K262" s="19">
        <f t="shared" si="34"/>
        <v>1.1452536000000006</v>
      </c>
      <c r="M262" s="13" t="s">
        <v>69</v>
      </c>
    </row>
    <row r="263" spans="1:13" x14ac:dyDescent="0.25">
      <c r="A263" s="1">
        <v>219</v>
      </c>
      <c r="B263" s="33"/>
      <c r="C263" s="66">
        <v>43441399</v>
      </c>
      <c r="D263" s="137">
        <v>58.3</v>
      </c>
      <c r="E263" s="5">
        <v>35.905000000000001</v>
      </c>
      <c r="F263" s="5">
        <v>37.302</v>
      </c>
      <c r="G263" s="28"/>
      <c r="H263" s="16">
        <f t="shared" si="35"/>
        <v>0</v>
      </c>
      <c r="I263" s="16">
        <f>((D263*0.015)*12)/7</f>
        <v>1.4991428571428571</v>
      </c>
      <c r="J263" s="16">
        <f>D263/($E$32-$E$34)*$J$31</f>
        <v>-0.2456510703619175</v>
      </c>
      <c r="K263" s="19">
        <f t="shared" si="34"/>
        <v>1.2534917867809396</v>
      </c>
      <c r="M263" s="13" t="s">
        <v>71</v>
      </c>
    </row>
    <row r="264" spans="1:13" x14ac:dyDescent="0.25">
      <c r="A264" s="1">
        <v>220</v>
      </c>
      <c r="B264" s="47">
        <v>45566</v>
      </c>
      <c r="C264" s="10" t="s">
        <v>95</v>
      </c>
      <c r="D264" s="137">
        <v>59.4</v>
      </c>
      <c r="E264" s="39">
        <v>1.0610999999999999</v>
      </c>
      <c r="F264" s="39">
        <v>1.2092000000000001</v>
      </c>
      <c r="G264" s="28"/>
      <c r="H264" s="16">
        <f>F264-E264</f>
        <v>0.14810000000000012</v>
      </c>
      <c r="I264" s="16"/>
      <c r="J264" s="16"/>
      <c r="K264" s="19">
        <f t="shared" si="34"/>
        <v>0.14810000000000012</v>
      </c>
      <c r="M264" s="13" t="s">
        <v>69</v>
      </c>
    </row>
    <row r="265" spans="1:13" x14ac:dyDescent="0.25">
      <c r="A265" s="1">
        <v>221</v>
      </c>
      <c r="B265" s="47">
        <v>45727</v>
      </c>
      <c r="C265" s="71">
        <v>43441397</v>
      </c>
      <c r="D265" s="137">
        <v>46.9</v>
      </c>
      <c r="E265" s="5">
        <v>8.423</v>
      </c>
      <c r="F265" s="5">
        <v>8.4640000000000004</v>
      </c>
      <c r="G265" s="28">
        <f>F265-E265</f>
        <v>4.1000000000000369E-2</v>
      </c>
      <c r="H265" s="16">
        <f>G265*0.8598</f>
        <v>3.5251800000000319E-2</v>
      </c>
      <c r="I265" s="16"/>
      <c r="J265" s="16"/>
      <c r="K265" s="19">
        <f t="shared" si="34"/>
        <v>3.5251800000000319E-2</v>
      </c>
      <c r="M265" s="13" t="s">
        <v>69</v>
      </c>
    </row>
    <row r="266" spans="1:13" x14ac:dyDescent="0.25">
      <c r="A266" s="1">
        <v>222</v>
      </c>
      <c r="B266" s="47">
        <v>45570</v>
      </c>
      <c r="C266" s="71">
        <v>43441402</v>
      </c>
      <c r="D266" s="137">
        <v>77.7</v>
      </c>
      <c r="E266" s="5">
        <v>63.021000000000001</v>
      </c>
      <c r="F266" s="5">
        <v>64.72</v>
      </c>
      <c r="G266" s="28">
        <f>F266-E266</f>
        <v>1.6989999999999981</v>
      </c>
      <c r="H266" s="16">
        <f t="shared" ref="H266:H288" si="39">G266*0.8598</f>
        <v>1.4608001999999984</v>
      </c>
      <c r="I266" s="19"/>
      <c r="J266" s="16"/>
      <c r="K266" s="19">
        <f t="shared" si="34"/>
        <v>1.4608001999999984</v>
      </c>
      <c r="M266" s="13" t="s">
        <v>69</v>
      </c>
    </row>
    <row r="267" spans="1:13" x14ac:dyDescent="0.25">
      <c r="A267" s="1">
        <v>223</v>
      </c>
      <c r="B267" s="47">
        <v>45790</v>
      </c>
      <c r="C267" s="71">
        <v>43441209</v>
      </c>
      <c r="D267" s="137">
        <v>118.6</v>
      </c>
      <c r="E267" s="5">
        <v>83.129000000000005</v>
      </c>
      <c r="F267" s="5">
        <v>84.488</v>
      </c>
      <c r="G267" s="28">
        <f>F267-E267</f>
        <v>1.3589999999999947</v>
      </c>
      <c r="H267" s="16">
        <f t="shared" si="39"/>
        <v>1.1684681999999955</v>
      </c>
      <c r="I267" s="19"/>
      <c r="J267" s="16"/>
      <c r="K267" s="19">
        <f t="shared" si="34"/>
        <v>1.1684681999999955</v>
      </c>
      <c r="M267" s="13" t="s">
        <v>69</v>
      </c>
    </row>
    <row r="268" spans="1:13" x14ac:dyDescent="0.25">
      <c r="A268" s="1">
        <v>224</v>
      </c>
      <c r="B268" s="47">
        <v>45940</v>
      </c>
      <c r="C268" s="71">
        <v>43441210</v>
      </c>
      <c r="D268" s="137">
        <v>56.8</v>
      </c>
      <c r="E268" s="5">
        <v>13.131</v>
      </c>
      <c r="F268" s="5">
        <v>13.131</v>
      </c>
      <c r="G268" s="28">
        <f>F268-E268</f>
        <v>0</v>
      </c>
      <c r="H268" s="16">
        <f t="shared" si="39"/>
        <v>0</v>
      </c>
      <c r="I268" s="19"/>
      <c r="J268" s="16"/>
      <c r="K268" s="19">
        <f t="shared" si="34"/>
        <v>0</v>
      </c>
      <c r="M268" s="13" t="s">
        <v>69</v>
      </c>
    </row>
    <row r="269" spans="1:13" x14ac:dyDescent="0.25">
      <c r="A269" s="1">
        <v>225</v>
      </c>
      <c r="B269" s="33"/>
      <c r="C269" s="71">
        <v>43441214</v>
      </c>
      <c r="D269" s="137">
        <v>58.9</v>
      </c>
      <c r="E269" s="5">
        <v>39.811999999999998</v>
      </c>
      <c r="F269" s="5">
        <v>40.906999999999996</v>
      </c>
      <c r="G269" s="28"/>
      <c r="H269" s="16">
        <f t="shared" si="39"/>
        <v>0</v>
      </c>
      <c r="I269" s="16">
        <f t="shared" ref="I269:I275" si="40">((D269*0.015)*12)/7</f>
        <v>1.5145714285714287</v>
      </c>
      <c r="J269" s="16">
        <f t="shared" ref="J269:J270" si="41">D269/($E$32-$E$34)*$J$31</f>
        <v>-0.2481792117378549</v>
      </c>
      <c r="K269" s="19">
        <f t="shared" si="34"/>
        <v>1.2663922168335737</v>
      </c>
      <c r="M269" s="13" t="s">
        <v>71</v>
      </c>
    </row>
    <row r="270" spans="1:13" x14ac:dyDescent="0.25">
      <c r="A270" s="1">
        <v>226</v>
      </c>
      <c r="B270" s="33"/>
      <c r="C270" s="71">
        <v>43441215</v>
      </c>
      <c r="D270" s="137">
        <v>46.8</v>
      </c>
      <c r="E270" s="5">
        <v>25.065000000000001</v>
      </c>
      <c r="F270" s="5">
        <v>25.734999999999999</v>
      </c>
      <c r="G270" s="28"/>
      <c r="H270" s="16">
        <f t="shared" si="39"/>
        <v>0</v>
      </c>
      <c r="I270" s="16">
        <f t="shared" si="40"/>
        <v>1.2034285714285713</v>
      </c>
      <c r="J270" s="16">
        <f t="shared" si="41"/>
        <v>-0.19719502732311728</v>
      </c>
      <c r="K270" s="19">
        <f t="shared" si="34"/>
        <v>1.006233544105454</v>
      </c>
      <c r="M270" s="13" t="s">
        <v>71</v>
      </c>
    </row>
    <row r="271" spans="1:13" x14ac:dyDescent="0.25">
      <c r="A271" s="1">
        <v>227</v>
      </c>
      <c r="B271" s="47">
        <v>45927</v>
      </c>
      <c r="C271" s="71" t="s">
        <v>105</v>
      </c>
      <c r="D271" s="137">
        <v>78.2</v>
      </c>
      <c r="E271" s="5">
        <v>2.8330000000000002</v>
      </c>
      <c r="F271" s="5">
        <v>3.7050000000000001</v>
      </c>
      <c r="G271" s="28"/>
      <c r="H271" s="16">
        <f>F271-E271</f>
        <v>0.87199999999999989</v>
      </c>
      <c r="I271" s="16"/>
      <c r="J271" s="16"/>
      <c r="K271" s="19">
        <f t="shared" si="34"/>
        <v>0.87199999999999989</v>
      </c>
      <c r="M271" s="13" t="s">
        <v>69</v>
      </c>
    </row>
    <row r="272" spans="1:13" x14ac:dyDescent="0.25">
      <c r="A272" s="1">
        <v>228</v>
      </c>
      <c r="B272" s="33"/>
      <c r="C272" s="71">
        <v>43441212</v>
      </c>
      <c r="D272" s="137">
        <v>117.5</v>
      </c>
      <c r="E272" s="5">
        <v>39.338000000000001</v>
      </c>
      <c r="F272" s="5">
        <v>40.575000000000003</v>
      </c>
      <c r="G272" s="28"/>
      <c r="H272" s="16">
        <f t="shared" si="39"/>
        <v>0</v>
      </c>
      <c r="I272" s="16">
        <f t="shared" si="40"/>
        <v>3.0214285714285714</v>
      </c>
      <c r="J272" s="16">
        <f t="shared" ref="J272:J273" si="42">D272/($E$32-$E$34)*$J$31</f>
        <v>-0.49509435278774111</v>
      </c>
      <c r="K272" s="19">
        <f>H272+I272+J272</f>
        <v>2.5263342186408302</v>
      </c>
      <c r="M272" s="13" t="s">
        <v>71</v>
      </c>
    </row>
    <row r="273" spans="1:13" x14ac:dyDescent="0.25">
      <c r="A273" s="1">
        <v>229</v>
      </c>
      <c r="B273" s="33"/>
      <c r="C273" s="71">
        <v>43441218</v>
      </c>
      <c r="D273" s="146">
        <v>57.8</v>
      </c>
      <c r="E273" s="5">
        <v>21.702000000000002</v>
      </c>
      <c r="F273" s="5">
        <v>24.901</v>
      </c>
      <c r="G273" s="5"/>
      <c r="H273" s="16">
        <f t="shared" si="39"/>
        <v>0</v>
      </c>
      <c r="I273" s="16">
        <f t="shared" si="40"/>
        <v>1.486285714285714</v>
      </c>
      <c r="J273" s="16">
        <f t="shared" si="42"/>
        <v>-0.24354428588196966</v>
      </c>
      <c r="K273" s="19">
        <f>H273+I273+J273</f>
        <v>1.2427414284037444</v>
      </c>
      <c r="M273" s="13" t="s">
        <v>71</v>
      </c>
    </row>
    <row r="274" spans="1:13" x14ac:dyDescent="0.25">
      <c r="A274" s="1">
        <v>230</v>
      </c>
      <c r="B274" s="47">
        <v>45914</v>
      </c>
      <c r="C274" s="71">
        <v>43441227</v>
      </c>
      <c r="D274" s="146">
        <v>58.4</v>
      </c>
      <c r="E274" s="5">
        <v>23.625</v>
      </c>
      <c r="F274" s="5">
        <v>24.984000000000002</v>
      </c>
      <c r="G274" s="5">
        <f>F274-E274</f>
        <v>1.3590000000000018</v>
      </c>
      <c r="H274" s="16">
        <f t="shared" si="39"/>
        <v>1.1684682000000015</v>
      </c>
      <c r="I274" s="19"/>
      <c r="J274" s="16"/>
      <c r="K274" s="19">
        <f t="shared" si="34"/>
        <v>1.1684682000000015</v>
      </c>
      <c r="M274" s="13" t="s">
        <v>69</v>
      </c>
    </row>
    <row r="275" spans="1:13" x14ac:dyDescent="0.25">
      <c r="A275" s="1">
        <v>231</v>
      </c>
      <c r="B275" s="33"/>
      <c r="C275" s="71">
        <v>43441216</v>
      </c>
      <c r="D275" s="146">
        <v>47</v>
      </c>
      <c r="E275" s="5">
        <v>13.946</v>
      </c>
      <c r="F275" s="5">
        <v>14.504</v>
      </c>
      <c r="G275" s="5"/>
      <c r="H275" s="16">
        <f t="shared" si="39"/>
        <v>0</v>
      </c>
      <c r="I275" s="16">
        <f t="shared" si="40"/>
        <v>1.2085714285714284</v>
      </c>
      <c r="J275" s="16">
        <f>D275/($E$32-$E$34)*$J$31</f>
        <v>-0.19803774111509645</v>
      </c>
      <c r="K275" s="19">
        <f t="shared" si="34"/>
        <v>1.010533687456332</v>
      </c>
      <c r="M275" s="13" t="s">
        <v>71</v>
      </c>
    </row>
    <row r="276" spans="1:13" x14ac:dyDescent="0.25">
      <c r="A276" s="1">
        <v>232</v>
      </c>
      <c r="B276" s="47">
        <v>45738</v>
      </c>
      <c r="C276" s="10" t="s">
        <v>104</v>
      </c>
      <c r="D276" s="146">
        <v>78</v>
      </c>
      <c r="E276" s="39">
        <v>2.1271</v>
      </c>
      <c r="F276" s="39">
        <v>2.5985</v>
      </c>
      <c r="G276" s="5"/>
      <c r="H276" s="16">
        <f>F276-E276</f>
        <v>0.47140000000000004</v>
      </c>
      <c r="I276" s="19"/>
      <c r="J276" s="16"/>
      <c r="K276" s="19">
        <f t="shared" si="34"/>
        <v>0.47140000000000004</v>
      </c>
      <c r="M276" s="13" t="s">
        <v>69</v>
      </c>
    </row>
    <row r="277" spans="1:13" x14ac:dyDescent="0.25">
      <c r="A277" s="1">
        <v>233</v>
      </c>
      <c r="B277" s="47">
        <v>45790</v>
      </c>
      <c r="C277" s="71">
        <v>43441226</v>
      </c>
      <c r="D277" s="146">
        <v>117.7</v>
      </c>
      <c r="E277" s="5">
        <v>16.16</v>
      </c>
      <c r="F277" s="5">
        <v>16.946999999999999</v>
      </c>
      <c r="G277" s="5">
        <f>F277-E277</f>
        <v>0.78699999999999903</v>
      </c>
      <c r="H277" s="16">
        <f>G277*0.8598</f>
        <v>0.67666259999999923</v>
      </c>
      <c r="I277" s="16"/>
      <c r="J277" s="16"/>
      <c r="K277" s="19">
        <f t="shared" si="34"/>
        <v>0.67666259999999923</v>
      </c>
      <c r="M277" s="13" t="s">
        <v>69</v>
      </c>
    </row>
    <row r="278" spans="1:13" x14ac:dyDescent="0.25">
      <c r="A278" s="1">
        <v>234</v>
      </c>
      <c r="B278" s="33"/>
      <c r="C278" s="71">
        <v>43441225</v>
      </c>
      <c r="D278" s="146">
        <v>57.8</v>
      </c>
      <c r="E278" s="5">
        <v>23.977</v>
      </c>
      <c r="F278" s="5">
        <v>24.550999999999998</v>
      </c>
      <c r="G278" s="5"/>
      <c r="H278" s="16">
        <f t="shared" si="39"/>
        <v>0</v>
      </c>
      <c r="I278" s="16">
        <f>((D278*0.015)*12)/7</f>
        <v>1.486285714285714</v>
      </c>
      <c r="J278" s="16">
        <f>D278/($E$32-$E$34)*$J$31</f>
        <v>-0.24354428588196966</v>
      </c>
      <c r="K278" s="19">
        <f t="shared" si="34"/>
        <v>1.2427414284037444</v>
      </c>
      <c r="M278" s="13" t="s">
        <v>71</v>
      </c>
    </row>
    <row r="279" spans="1:13" x14ac:dyDescent="0.25">
      <c r="A279" s="1">
        <v>235</v>
      </c>
      <c r="B279" s="47">
        <v>45748</v>
      </c>
      <c r="C279" s="71">
        <v>43441222</v>
      </c>
      <c r="D279" s="146">
        <v>58.3</v>
      </c>
      <c r="E279" s="5">
        <v>5.2140000000000004</v>
      </c>
      <c r="F279" s="5">
        <v>5.23</v>
      </c>
      <c r="G279" s="5">
        <f>F279-E279</f>
        <v>1.6000000000000014E-2</v>
      </c>
      <c r="H279" s="16">
        <f t="shared" si="39"/>
        <v>1.3756800000000012E-2</v>
      </c>
      <c r="I279" s="16"/>
      <c r="J279" s="16"/>
      <c r="K279" s="19">
        <f t="shared" si="34"/>
        <v>1.3756800000000012E-2</v>
      </c>
      <c r="M279" s="13" t="s">
        <v>69</v>
      </c>
    </row>
    <row r="280" spans="1:13" x14ac:dyDescent="0.25">
      <c r="A280" s="1">
        <v>236</v>
      </c>
      <c r="B280" s="33"/>
      <c r="C280" s="71">
        <v>43441223</v>
      </c>
      <c r="D280" s="146">
        <v>47</v>
      </c>
      <c r="E280" s="5">
        <v>28.978999999999999</v>
      </c>
      <c r="F280" s="5">
        <v>28.978999999999999</v>
      </c>
      <c r="G280" s="5"/>
      <c r="H280" s="16">
        <f t="shared" si="39"/>
        <v>0</v>
      </c>
      <c r="I280" s="16">
        <f>((D280*0.015)*12)/7</f>
        <v>1.2085714285714284</v>
      </c>
      <c r="J280" s="16">
        <f>D280/($E$32-$E$34)*$J$31</f>
        <v>-0.19803774111509645</v>
      </c>
      <c r="K280" s="19">
        <f t="shared" si="34"/>
        <v>1.010533687456332</v>
      </c>
      <c r="M280" s="13" t="s">
        <v>71</v>
      </c>
    </row>
    <row r="281" spans="1:13" x14ac:dyDescent="0.25">
      <c r="A281" s="1">
        <v>237</v>
      </c>
      <c r="B281" s="47">
        <v>45703</v>
      </c>
      <c r="C281" s="71">
        <v>43441224</v>
      </c>
      <c r="D281" s="146">
        <v>77</v>
      </c>
      <c r="E281" s="5">
        <v>51.817999999999998</v>
      </c>
      <c r="F281" s="5">
        <v>53.177999999999997</v>
      </c>
      <c r="G281" s="5">
        <f>F281-E281</f>
        <v>1.3599999999999994</v>
      </c>
      <c r="H281" s="16">
        <f t="shared" si="39"/>
        <v>1.1693279999999995</v>
      </c>
      <c r="I281" s="19"/>
      <c r="J281" s="16"/>
      <c r="K281" s="19">
        <f t="shared" si="34"/>
        <v>1.1693279999999995</v>
      </c>
      <c r="M281" s="13" t="s">
        <v>69</v>
      </c>
    </row>
    <row r="282" spans="1:13" x14ac:dyDescent="0.25">
      <c r="A282" s="1">
        <v>238</v>
      </c>
      <c r="B282" s="33"/>
      <c r="C282" s="71" t="s">
        <v>115</v>
      </c>
      <c r="D282" s="146">
        <v>117.8</v>
      </c>
      <c r="E282" s="39">
        <v>2.7120000000000002</v>
      </c>
      <c r="F282" s="39">
        <v>3.6659999999999999</v>
      </c>
      <c r="G282" s="5"/>
      <c r="H282" s="16">
        <f>F282-E282</f>
        <v>0.95399999999999974</v>
      </c>
      <c r="I282" s="16"/>
      <c r="J282" s="16"/>
      <c r="K282" s="19">
        <f t="shared" si="34"/>
        <v>0.95399999999999974</v>
      </c>
      <c r="M282" s="13" t="s">
        <v>69</v>
      </c>
    </row>
    <row r="283" spans="1:13" x14ac:dyDescent="0.25">
      <c r="A283" s="1">
        <v>239</v>
      </c>
      <c r="B283" s="48">
        <v>45871</v>
      </c>
      <c r="C283" s="71">
        <v>43441220</v>
      </c>
      <c r="D283" s="146">
        <v>58.1</v>
      </c>
      <c r="E283" s="5">
        <v>35.457999999999998</v>
      </c>
      <c r="F283" s="5">
        <v>36.000999999999998</v>
      </c>
      <c r="G283" s="5">
        <f>F283-E283</f>
        <v>0.54299999999999926</v>
      </c>
      <c r="H283" s="16">
        <f>G283*0.8598</f>
        <v>0.46687139999999938</v>
      </c>
      <c r="I283" s="19"/>
      <c r="J283" s="16"/>
      <c r="K283" s="19">
        <f t="shared" si="34"/>
        <v>0.46687139999999938</v>
      </c>
      <c r="M283" s="13" t="s">
        <v>69</v>
      </c>
    </row>
    <row r="284" spans="1:13" x14ac:dyDescent="0.25">
      <c r="A284" s="1">
        <v>240</v>
      </c>
      <c r="B284" s="33"/>
      <c r="C284" s="71">
        <v>20242417</v>
      </c>
      <c r="D284" s="146">
        <v>58.7</v>
      </c>
      <c r="E284" s="5">
        <v>31.724</v>
      </c>
      <c r="F284" s="5">
        <v>32.619</v>
      </c>
      <c r="G284" s="5"/>
      <c r="H284" s="16">
        <f t="shared" si="39"/>
        <v>0</v>
      </c>
      <c r="I284" s="16">
        <f>((D284*0.015)*12)/7</f>
        <v>1.5094285714285716</v>
      </c>
      <c r="J284" s="16">
        <f t="shared" ref="J284:J287" si="43">D284/($E$32-$E$34)*$J$31</f>
        <v>-0.24733649794587578</v>
      </c>
      <c r="K284" s="19">
        <f t="shared" si="34"/>
        <v>1.2620920734826957</v>
      </c>
      <c r="M284" s="13" t="s">
        <v>71</v>
      </c>
    </row>
    <row r="285" spans="1:13" x14ac:dyDescent="0.25">
      <c r="A285" s="1">
        <v>241</v>
      </c>
      <c r="B285" s="33"/>
      <c r="C285" s="71">
        <v>20242445</v>
      </c>
      <c r="D285" s="146">
        <v>46.5</v>
      </c>
      <c r="E285" s="5">
        <v>23.869</v>
      </c>
      <c r="F285" s="5">
        <v>24.16</v>
      </c>
      <c r="G285" s="5"/>
      <c r="H285" s="16">
        <f t="shared" si="39"/>
        <v>0</v>
      </c>
      <c r="I285" s="16">
        <f>((D285*0.015)*12)/7</f>
        <v>1.195714285714286</v>
      </c>
      <c r="J285" s="16">
        <f t="shared" si="43"/>
        <v>-0.19593095663514862</v>
      </c>
      <c r="K285" s="19">
        <f t="shared" si="34"/>
        <v>0.99978332907913736</v>
      </c>
      <c r="M285" s="13" t="s">
        <v>71</v>
      </c>
    </row>
    <row r="286" spans="1:13" x14ac:dyDescent="0.25">
      <c r="A286" s="1">
        <v>242</v>
      </c>
      <c r="B286" s="33"/>
      <c r="C286" s="71">
        <v>43441219</v>
      </c>
      <c r="D286" s="146">
        <v>78.3</v>
      </c>
      <c r="E286" s="5">
        <v>64.314999999999998</v>
      </c>
      <c r="F286" s="5">
        <v>66.134</v>
      </c>
      <c r="G286" s="5"/>
      <c r="H286" s="16">
        <f t="shared" si="39"/>
        <v>0</v>
      </c>
      <c r="I286" s="16">
        <f>((D286*0.015)*12)/7</f>
        <v>2.0134285714285709</v>
      </c>
      <c r="J286" s="16">
        <f t="shared" si="43"/>
        <v>-0.32992244955983085</v>
      </c>
      <c r="K286" s="19">
        <f t="shared" si="34"/>
        <v>1.6835061218687399</v>
      </c>
      <c r="M286" s="13" t="s">
        <v>71</v>
      </c>
    </row>
    <row r="287" spans="1:13" x14ac:dyDescent="0.25">
      <c r="A287" s="1">
        <v>243</v>
      </c>
      <c r="B287" s="33"/>
      <c r="C287" s="71">
        <v>20242421</v>
      </c>
      <c r="D287" s="146">
        <v>117.2</v>
      </c>
      <c r="E287" s="5">
        <v>53.945999999999998</v>
      </c>
      <c r="F287" s="5">
        <v>56.344000000000001</v>
      </c>
      <c r="G287" s="5"/>
      <c r="H287" s="16">
        <f t="shared" si="39"/>
        <v>0</v>
      </c>
      <c r="I287" s="16">
        <f>((D287*0.015)*12)/7</f>
        <v>3.0137142857142858</v>
      </c>
      <c r="J287" s="16">
        <f t="shared" si="43"/>
        <v>-0.49383028209977242</v>
      </c>
      <c r="K287" s="19">
        <f t="shared" si="34"/>
        <v>2.5198840036145134</v>
      </c>
      <c r="M287" s="13" t="s">
        <v>71</v>
      </c>
    </row>
    <row r="288" spans="1:13" x14ac:dyDescent="0.25">
      <c r="A288" s="1">
        <v>244</v>
      </c>
      <c r="B288" s="47">
        <v>45803</v>
      </c>
      <c r="C288" s="71">
        <v>20242431</v>
      </c>
      <c r="D288" s="146">
        <v>57.8</v>
      </c>
      <c r="E288" s="5">
        <v>11.468</v>
      </c>
      <c r="F288" s="5">
        <v>12.345000000000001</v>
      </c>
      <c r="G288" s="5">
        <f>F288-E288</f>
        <v>0.87700000000000067</v>
      </c>
      <c r="H288" s="16">
        <f t="shared" si="39"/>
        <v>0.75404460000000062</v>
      </c>
      <c r="I288" s="19"/>
      <c r="J288" s="16"/>
      <c r="K288" s="19">
        <f t="shared" si="34"/>
        <v>0.75404460000000062</v>
      </c>
      <c r="M288" s="13" t="s">
        <v>69</v>
      </c>
    </row>
    <row r="289" spans="1:13" x14ac:dyDescent="0.25">
      <c r="A289" s="1">
        <v>245</v>
      </c>
      <c r="B289" s="47">
        <v>45887</v>
      </c>
      <c r="C289" s="71">
        <v>20242432</v>
      </c>
      <c r="D289" s="146">
        <v>58.2</v>
      </c>
      <c r="E289" s="5">
        <v>11.919</v>
      </c>
      <c r="F289" s="5">
        <v>12.116</v>
      </c>
      <c r="G289" s="5">
        <f>F289-E289</f>
        <v>0.19699999999999918</v>
      </c>
      <c r="H289" s="16">
        <f>G289*0.8598</f>
        <v>0.1693805999999993</v>
      </c>
      <c r="I289" s="19"/>
      <c r="J289" s="16"/>
      <c r="K289" s="19">
        <f t="shared" si="34"/>
        <v>0.1693805999999993</v>
      </c>
      <c r="M289" s="13" t="s">
        <v>69</v>
      </c>
    </row>
    <row r="290" spans="1:13" x14ac:dyDescent="0.25">
      <c r="A290" s="1">
        <v>246</v>
      </c>
      <c r="B290" s="33"/>
      <c r="C290" s="71">
        <v>20242451</v>
      </c>
      <c r="D290" s="146">
        <v>45.8</v>
      </c>
      <c r="E290" s="5">
        <v>23.474</v>
      </c>
      <c r="F290" s="5">
        <v>24.43</v>
      </c>
      <c r="G290" s="5"/>
      <c r="H290" s="16">
        <f>G290*0.8598</f>
        <v>0</v>
      </c>
      <c r="I290" s="16">
        <f>((D290*0.015)*12)/7</f>
        <v>1.1777142857142857</v>
      </c>
      <c r="J290" s="16">
        <f>D290/($E$32-$E$34)*$J$31</f>
        <v>-0.19298145836322161</v>
      </c>
      <c r="K290" s="19">
        <f t="shared" si="34"/>
        <v>0.98473282735106404</v>
      </c>
      <c r="M290" s="13" t="s">
        <v>71</v>
      </c>
    </row>
    <row r="291" spans="1:13" ht="15.75" thickBot="1" x14ac:dyDescent="0.3">
      <c r="A291" s="42">
        <v>247</v>
      </c>
      <c r="B291" s="47">
        <v>45887</v>
      </c>
      <c r="C291" s="72">
        <v>20242442</v>
      </c>
      <c r="D291" s="141">
        <v>77.599999999999994</v>
      </c>
      <c r="E291" s="27">
        <v>34.095999999999997</v>
      </c>
      <c r="F291" s="27">
        <v>34.531999999999996</v>
      </c>
      <c r="G291" s="5">
        <f>F291-E291</f>
        <v>0.43599999999999994</v>
      </c>
      <c r="H291" s="95">
        <f>G291*0.8598</f>
        <v>0.37487279999999995</v>
      </c>
      <c r="I291" s="96"/>
      <c r="J291" s="16"/>
      <c r="K291" s="19">
        <f t="shared" si="34"/>
        <v>0.37487279999999995</v>
      </c>
      <c r="M291" s="13" t="s">
        <v>69</v>
      </c>
    </row>
    <row r="292" spans="1:13" ht="15.75" thickBot="1" x14ac:dyDescent="0.3">
      <c r="A292" s="219" t="s">
        <v>81</v>
      </c>
      <c r="B292" s="220"/>
      <c r="C292" s="220"/>
      <c r="D292" s="92">
        <f>SUM(D227:D291)</f>
        <v>4660.1000000000022</v>
      </c>
      <c r="E292" s="221" t="s">
        <v>82</v>
      </c>
      <c r="F292" s="221"/>
      <c r="G292" s="221"/>
      <c r="H292" s="64">
        <f>SUM(H227:H291)</f>
        <v>20.05511120000001</v>
      </c>
      <c r="I292" s="64">
        <f>SUM(I227:I291)</f>
        <v>55.20600000000001</v>
      </c>
      <c r="J292" s="64">
        <f>SUM(J227:J291)</f>
        <v>-9.046111200000011</v>
      </c>
      <c r="K292" s="93">
        <f>SUM(K227:K291)</f>
        <v>66.215000000000032</v>
      </c>
      <c r="M292" s="13"/>
    </row>
    <row r="293" spans="1:13" x14ac:dyDescent="0.25">
      <c r="A293" s="222" t="s">
        <v>3</v>
      </c>
      <c r="B293" s="222"/>
      <c r="C293" s="222"/>
      <c r="D293" s="97">
        <f>SUM(D116,D173,D226,D292)</f>
        <v>17590.400000000005</v>
      </c>
      <c r="E293" s="65">
        <f>SUM(E42:E291)</f>
        <v>7156.8630999999959</v>
      </c>
      <c r="F293" s="65">
        <f>SUM(F42:F291)</f>
        <v>7329.2086000000036</v>
      </c>
      <c r="G293" s="6">
        <f>F293-E293</f>
        <v>172.34550000000763</v>
      </c>
      <c r="H293" s="65">
        <f>SUM(H116,H173,H226,H292)</f>
        <v>75.449473800000021</v>
      </c>
      <c r="I293" s="65">
        <f>SUM(I116,I173,I226,I292)</f>
        <v>161.54485714285715</v>
      </c>
      <c r="J293" s="65">
        <f>SUM(J116,J173,J226,J292)</f>
        <v>19.275669057142842</v>
      </c>
      <c r="K293" s="65">
        <f>SUM(K116,K173,K226,K292)</f>
        <v>256.27000000000004</v>
      </c>
      <c r="L293" s="20"/>
      <c r="M293" s="21"/>
    </row>
    <row r="294" spans="1:13" x14ac:dyDescent="0.25">
      <c r="H294" s="98"/>
      <c r="I294" s="98"/>
      <c r="L294" s="62"/>
      <c r="M294" s="12"/>
    </row>
    <row r="295" spans="1:13" x14ac:dyDescent="0.25">
      <c r="J295" s="2"/>
      <c r="K295" s="2"/>
      <c r="M295" s="62"/>
    </row>
    <row r="296" spans="1:13" ht="18.75" customHeight="1" x14ac:dyDescent="0.25">
      <c r="A296" s="207" t="s">
        <v>34</v>
      </c>
      <c r="B296" s="40" t="s">
        <v>61</v>
      </c>
      <c r="C296" s="209" t="s">
        <v>35</v>
      </c>
      <c r="D296" s="211" t="s">
        <v>2</v>
      </c>
      <c r="E296" s="17" t="s">
        <v>125</v>
      </c>
      <c r="F296" s="17" t="s">
        <v>129</v>
      </c>
      <c r="G296" s="99" t="s">
        <v>53</v>
      </c>
      <c r="H296" s="4"/>
      <c r="I296" s="4"/>
      <c r="J296" s="2"/>
      <c r="K296" s="2"/>
    </row>
    <row r="297" spans="1:13" ht="18.75" customHeight="1" x14ac:dyDescent="0.25">
      <c r="A297" s="208"/>
      <c r="B297" s="100" t="s">
        <v>62</v>
      </c>
      <c r="C297" s="210"/>
      <c r="D297" s="212"/>
      <c r="E297" s="25" t="s">
        <v>36</v>
      </c>
      <c r="F297" s="25" t="s">
        <v>36</v>
      </c>
      <c r="G297" s="32" t="s">
        <v>54</v>
      </c>
      <c r="J297" s="2"/>
      <c r="K297" s="2"/>
    </row>
    <row r="298" spans="1:13" x14ac:dyDescent="0.25">
      <c r="A298" s="101" t="s">
        <v>37</v>
      </c>
      <c r="B298" s="102">
        <v>43296</v>
      </c>
      <c r="C298" s="26">
        <v>43441481</v>
      </c>
      <c r="D298" s="26">
        <v>122.9</v>
      </c>
      <c r="E298" s="22">
        <v>59.819000000000003</v>
      </c>
      <c r="F298" s="22">
        <v>61.058</v>
      </c>
      <c r="G298" s="22">
        <f>(F298-E298)*0.8598</f>
        <v>1.0652921999999976</v>
      </c>
      <c r="J298" s="2"/>
      <c r="K298" s="2"/>
    </row>
    <row r="299" spans="1:13" x14ac:dyDescent="0.25">
      <c r="A299" s="101" t="s">
        <v>38</v>
      </c>
      <c r="B299" s="102">
        <v>43296</v>
      </c>
      <c r="C299" s="26">
        <v>43441178</v>
      </c>
      <c r="D299" s="26">
        <v>68.5</v>
      </c>
      <c r="E299" s="22">
        <v>105.56</v>
      </c>
      <c r="F299" s="22">
        <v>108.589</v>
      </c>
      <c r="G299" s="22">
        <f t="shared" ref="G299:G312" si="44">(F299-E299)*0.8598</f>
        <v>2.6043341999999967</v>
      </c>
      <c r="J299" s="2"/>
      <c r="K299" s="2"/>
    </row>
    <row r="300" spans="1:13" x14ac:dyDescent="0.25">
      <c r="A300" s="101" t="s">
        <v>39</v>
      </c>
      <c r="B300" s="102">
        <v>43296</v>
      </c>
      <c r="C300" s="26">
        <v>43441179</v>
      </c>
      <c r="D300" s="26">
        <v>106.9</v>
      </c>
      <c r="E300" s="22">
        <v>35.212000000000003</v>
      </c>
      <c r="F300" s="22">
        <v>35.89</v>
      </c>
      <c r="G300" s="22">
        <f t="shared" si="44"/>
        <v>0.5829443999999977</v>
      </c>
      <c r="J300" s="2"/>
      <c r="K300" s="2"/>
    </row>
    <row r="301" spans="1:13" x14ac:dyDescent="0.25">
      <c r="A301" s="101" t="s">
        <v>40</v>
      </c>
      <c r="B301" s="102">
        <v>43296</v>
      </c>
      <c r="C301" s="26">
        <v>43441177</v>
      </c>
      <c r="D301" s="26">
        <v>163.80000000000001</v>
      </c>
      <c r="E301" s="22">
        <v>180.33600000000001</v>
      </c>
      <c r="F301" s="22">
        <v>186.048</v>
      </c>
      <c r="G301" s="22">
        <f t="shared" si="44"/>
        <v>4.9111775999999905</v>
      </c>
      <c r="J301" s="2"/>
      <c r="K301" s="2"/>
    </row>
    <row r="302" spans="1:13" x14ac:dyDescent="0.25">
      <c r="A302" s="101" t="s">
        <v>41</v>
      </c>
      <c r="B302" s="102">
        <v>43296</v>
      </c>
      <c r="C302" s="26">
        <v>43441482</v>
      </c>
      <c r="D302" s="26">
        <v>109.8</v>
      </c>
      <c r="E302" s="22">
        <v>145.77799999999999</v>
      </c>
      <c r="F302" s="22">
        <v>148.66300000000001</v>
      </c>
      <c r="G302" s="22">
        <f t="shared" si="44"/>
        <v>2.4805230000000167</v>
      </c>
      <c r="K302" s="2"/>
    </row>
    <row r="303" spans="1:13" x14ac:dyDescent="0.25">
      <c r="A303" s="101" t="s">
        <v>42</v>
      </c>
      <c r="B303" s="102">
        <v>43296</v>
      </c>
      <c r="C303" s="26">
        <v>43441483</v>
      </c>
      <c r="D303" s="26">
        <v>58.7</v>
      </c>
      <c r="E303" s="22">
        <v>188.16399999999999</v>
      </c>
      <c r="F303" s="22">
        <v>191.512</v>
      </c>
      <c r="G303" s="22">
        <f t="shared" si="44"/>
        <v>2.8786104000000114</v>
      </c>
      <c r="J303" s="2"/>
      <c r="K303" s="2"/>
    </row>
    <row r="304" spans="1:13" x14ac:dyDescent="0.25">
      <c r="A304" s="101" t="s">
        <v>43</v>
      </c>
      <c r="B304" s="102">
        <v>43296</v>
      </c>
      <c r="C304" s="26">
        <v>41444210</v>
      </c>
      <c r="D304" s="26">
        <v>89.1</v>
      </c>
      <c r="E304" s="22">
        <v>163.12299999999999</v>
      </c>
      <c r="F304" s="22">
        <v>166.97300000000001</v>
      </c>
      <c r="G304" s="22">
        <f t="shared" si="44"/>
        <v>3.3102300000000198</v>
      </c>
      <c r="J304" s="2"/>
      <c r="K304" s="2"/>
    </row>
    <row r="305" spans="1:13" x14ac:dyDescent="0.25">
      <c r="A305" s="101" t="s">
        <v>44</v>
      </c>
      <c r="B305" s="102">
        <v>43296</v>
      </c>
      <c r="C305" s="26">
        <v>20242453</v>
      </c>
      <c r="D305" s="26">
        <v>56.5</v>
      </c>
      <c r="E305" s="22">
        <v>171.96</v>
      </c>
      <c r="F305" s="22">
        <v>176.245</v>
      </c>
      <c r="G305" s="22">
        <f t="shared" si="44"/>
        <v>3.6842429999999973</v>
      </c>
      <c r="J305" s="2"/>
      <c r="K305" s="2"/>
    </row>
    <row r="306" spans="1:13" x14ac:dyDescent="0.25">
      <c r="A306" s="101" t="s">
        <v>45</v>
      </c>
      <c r="B306" s="102">
        <v>43296</v>
      </c>
      <c r="C306" s="26">
        <v>20242426</v>
      </c>
      <c r="D306" s="26">
        <v>96</v>
      </c>
      <c r="E306" s="22">
        <v>129.291</v>
      </c>
      <c r="F306" s="22">
        <v>133.14699999999999</v>
      </c>
      <c r="G306" s="22">
        <f t="shared" si="44"/>
        <v>3.3153887999999951</v>
      </c>
      <c r="J306" s="2"/>
      <c r="K306" s="2"/>
    </row>
    <row r="307" spans="1:13" x14ac:dyDescent="0.25">
      <c r="A307" s="101" t="s">
        <v>46</v>
      </c>
      <c r="B307" s="102">
        <v>43296</v>
      </c>
      <c r="C307" s="26">
        <v>20242457</v>
      </c>
      <c r="D307" s="26">
        <v>103.3</v>
      </c>
      <c r="E307" s="22">
        <v>128.971</v>
      </c>
      <c r="F307" s="22">
        <v>132.21700000000001</v>
      </c>
      <c r="G307" s="22">
        <f t="shared" si="44"/>
        <v>2.7909108000000082</v>
      </c>
      <c r="J307" s="2"/>
      <c r="K307" s="2"/>
    </row>
    <row r="308" spans="1:13" x14ac:dyDescent="0.25">
      <c r="A308" s="101" t="s">
        <v>47</v>
      </c>
      <c r="B308" s="102">
        <v>43296</v>
      </c>
      <c r="C308" s="26">
        <v>20242455</v>
      </c>
      <c r="D308" s="26">
        <v>43.4</v>
      </c>
      <c r="E308" s="22">
        <v>104.348</v>
      </c>
      <c r="F308" s="22">
        <v>107.288</v>
      </c>
      <c r="G308" s="22">
        <f t="shared" si="44"/>
        <v>2.5278119999999982</v>
      </c>
      <c r="J308" s="2"/>
      <c r="K308" s="2"/>
    </row>
    <row r="309" spans="1:13" x14ac:dyDescent="0.25">
      <c r="A309" s="101" t="s">
        <v>48</v>
      </c>
      <c r="B309" s="102">
        <v>43296</v>
      </c>
      <c r="C309" s="26">
        <v>20442453</v>
      </c>
      <c r="D309" s="26">
        <v>79.900000000000006</v>
      </c>
      <c r="E309" s="22">
        <v>111.678</v>
      </c>
      <c r="F309" s="22">
        <v>114.39100000000001</v>
      </c>
      <c r="G309" s="22">
        <f t="shared" si="44"/>
        <v>2.332637400000007</v>
      </c>
      <c r="J309" s="2"/>
      <c r="K309" s="2"/>
    </row>
    <row r="310" spans="1:13" x14ac:dyDescent="0.25">
      <c r="A310" s="101" t="s">
        <v>49</v>
      </c>
      <c r="B310" s="102">
        <v>43296</v>
      </c>
      <c r="C310" s="26">
        <v>20242456</v>
      </c>
      <c r="D310" s="26">
        <v>106.1</v>
      </c>
      <c r="E310" s="22">
        <v>49.536000000000001</v>
      </c>
      <c r="F310" s="22">
        <v>49.536000000000001</v>
      </c>
      <c r="G310" s="22">
        <f t="shared" si="44"/>
        <v>0</v>
      </c>
      <c r="J310" s="2"/>
      <c r="K310" s="2"/>
    </row>
    <row r="311" spans="1:13" x14ac:dyDescent="0.25">
      <c r="A311" s="101" t="s">
        <v>50</v>
      </c>
      <c r="B311" s="102">
        <v>43296</v>
      </c>
      <c r="C311" s="26">
        <v>20242415</v>
      </c>
      <c r="D311" s="26">
        <v>137.9</v>
      </c>
      <c r="E311" s="22">
        <v>195.56100000000001</v>
      </c>
      <c r="F311" s="22">
        <v>200.74299999999999</v>
      </c>
      <c r="G311" s="22">
        <f t="shared" si="44"/>
        <v>4.4554835999999893</v>
      </c>
      <c r="J311" s="2"/>
      <c r="K311" s="2"/>
    </row>
    <row r="312" spans="1:13" x14ac:dyDescent="0.25">
      <c r="A312" s="101" t="s">
        <v>51</v>
      </c>
      <c r="B312" s="102">
        <v>43296</v>
      </c>
      <c r="C312" s="26">
        <v>20242418</v>
      </c>
      <c r="D312" s="26">
        <v>56.4</v>
      </c>
      <c r="E312" s="22">
        <v>205.84399999999999</v>
      </c>
      <c r="F312" s="22">
        <v>211.70599999999999</v>
      </c>
      <c r="G312" s="22">
        <f t="shared" si="44"/>
        <v>5.0401475999999956</v>
      </c>
      <c r="J312" s="2"/>
      <c r="K312" s="2"/>
    </row>
    <row r="313" spans="1:13" x14ac:dyDescent="0.25">
      <c r="C313" s="18"/>
      <c r="D313" s="26">
        <f>SUM(D298:D312)</f>
        <v>1399.2</v>
      </c>
      <c r="E313" s="23">
        <f>SUM(E298:E312)</f>
        <v>1975.1809999999998</v>
      </c>
      <c r="F313" s="23">
        <f>SUM(F298:F312)</f>
        <v>2024.0060000000001</v>
      </c>
      <c r="G313" s="23">
        <f>SUM(G298:G312)</f>
        <v>41.979735000000019</v>
      </c>
      <c r="J313" s="2"/>
      <c r="K313" s="2"/>
    </row>
    <row r="314" spans="1:13" x14ac:dyDescent="0.25">
      <c r="A314" s="103"/>
      <c r="B314" s="103"/>
      <c r="C314" s="103"/>
      <c r="D314" s="103"/>
      <c r="E314" s="103"/>
      <c r="F314" s="103"/>
      <c r="G314" s="103"/>
      <c r="J314" s="2"/>
      <c r="K314" s="2"/>
      <c r="M314" s="62"/>
    </row>
    <row r="315" spans="1:13" x14ac:dyDescent="0.25">
      <c r="A315" s="104" t="s">
        <v>14</v>
      </c>
      <c r="G315" s="103"/>
      <c r="J315" s="2"/>
      <c r="K315" s="2"/>
      <c r="M315" s="62"/>
    </row>
    <row r="316" spans="1:13" x14ac:dyDescent="0.25">
      <c r="A316" s="103"/>
      <c r="F316" s="103"/>
      <c r="J316" s="2"/>
      <c r="K316" s="2"/>
      <c r="L316" s="62"/>
      <c r="M316" s="62"/>
    </row>
    <row r="317" spans="1:13" x14ac:dyDescent="0.25">
      <c r="J317" s="2"/>
      <c r="K317" s="2"/>
      <c r="L317" s="62"/>
      <c r="M317" s="62"/>
    </row>
  </sheetData>
  <mergeCells count="80">
    <mergeCell ref="F36:H36"/>
    <mergeCell ref="A296:A297"/>
    <mergeCell ref="C296:C297"/>
    <mergeCell ref="D296:D297"/>
    <mergeCell ref="F38:H38"/>
    <mergeCell ref="F39:H39"/>
    <mergeCell ref="A116:C116"/>
    <mergeCell ref="E116:G116"/>
    <mergeCell ref="A173:C173"/>
    <mergeCell ref="E173:G173"/>
    <mergeCell ref="A226:C226"/>
    <mergeCell ref="E226:G226"/>
    <mergeCell ref="A292:C292"/>
    <mergeCell ref="E292:G292"/>
    <mergeCell ref="A293:C293"/>
    <mergeCell ref="J36:J37"/>
    <mergeCell ref="F37:H37"/>
    <mergeCell ref="A29:E29"/>
    <mergeCell ref="F29:H29"/>
    <mergeCell ref="A30:A35"/>
    <mergeCell ref="B30:E31"/>
    <mergeCell ref="F30:H30"/>
    <mergeCell ref="F31:H31"/>
    <mergeCell ref="B32:D32"/>
    <mergeCell ref="F32:J32"/>
    <mergeCell ref="B33:D33"/>
    <mergeCell ref="F33:H33"/>
    <mergeCell ref="B34:D34"/>
    <mergeCell ref="F34:H34"/>
    <mergeCell ref="B35:D35"/>
    <mergeCell ref="F35:H35"/>
    <mergeCell ref="B26:D26"/>
    <mergeCell ref="F26:H26"/>
    <mergeCell ref="B27:D27"/>
    <mergeCell ref="F27:H27"/>
    <mergeCell ref="B28:D28"/>
    <mergeCell ref="F28:H28"/>
    <mergeCell ref="B21:D21"/>
    <mergeCell ref="F21:H21"/>
    <mergeCell ref="A22:E22"/>
    <mergeCell ref="F22:H22"/>
    <mergeCell ref="A23:A28"/>
    <mergeCell ref="B23:E24"/>
    <mergeCell ref="F23:H23"/>
    <mergeCell ref="F24:H24"/>
    <mergeCell ref="B25:D25"/>
    <mergeCell ref="F25:J25"/>
    <mergeCell ref="A16:A21"/>
    <mergeCell ref="B16:E17"/>
    <mergeCell ref="F16:H16"/>
    <mergeCell ref="F17:H17"/>
    <mergeCell ref="B18:D18"/>
    <mergeCell ref="F18:J18"/>
    <mergeCell ref="F11:J11"/>
    <mergeCell ref="B19:D19"/>
    <mergeCell ref="F19:H19"/>
    <mergeCell ref="B20:D20"/>
    <mergeCell ref="F20:H20"/>
    <mergeCell ref="B13:D13"/>
    <mergeCell ref="F13:H13"/>
    <mergeCell ref="B14:D14"/>
    <mergeCell ref="F14:H14"/>
    <mergeCell ref="A15:E15"/>
    <mergeCell ref="F15:H15"/>
    <mergeCell ref="B12:D12"/>
    <mergeCell ref="F12:H12"/>
    <mergeCell ref="A1:M1"/>
    <mergeCell ref="A3:M3"/>
    <mergeCell ref="A4:M4"/>
    <mergeCell ref="A6:J6"/>
    <mergeCell ref="M6:M10"/>
    <mergeCell ref="A7:E7"/>
    <mergeCell ref="F7:H7"/>
    <mergeCell ref="A8:E8"/>
    <mergeCell ref="F8:H8"/>
    <mergeCell ref="A9:A14"/>
    <mergeCell ref="B9:E10"/>
    <mergeCell ref="F9:H9"/>
    <mergeCell ref="F10:H10"/>
    <mergeCell ref="B11:D11"/>
  </mergeCells>
  <pageMargins left="0.78740157480314965" right="0" top="0" bottom="0" header="0.31496062992125984" footer="0.31496062992125984"/>
  <pageSetup paperSize="9" scale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289" zoomScaleNormal="100" workbookViewId="0">
      <selection activeCell="O240" sqref="O240"/>
    </sheetView>
  </sheetViews>
  <sheetFormatPr defaultRowHeight="15" x14ac:dyDescent="0.25"/>
  <cols>
    <col min="1" max="1" width="6.42578125" style="2" customWidth="1"/>
    <col min="2" max="2" width="16" style="2" customWidth="1"/>
    <col min="3" max="3" width="15" style="2" customWidth="1"/>
    <col min="4" max="4" width="9.5703125" style="2" customWidth="1"/>
    <col min="5" max="5" width="10.5703125" style="2" customWidth="1"/>
    <col min="6" max="8" width="10.28515625" style="2" customWidth="1"/>
    <col min="9" max="9" width="12.28515625" style="2" customWidth="1"/>
    <col min="10" max="10" width="11.28515625" style="62" customWidth="1"/>
    <col min="11" max="11" width="9.42578125" style="62" customWidth="1"/>
    <col min="12" max="12" width="2.140625" style="2" customWidth="1"/>
    <col min="13" max="13" width="26" style="2" customWidth="1"/>
    <col min="14" max="14" width="9.5703125" style="2" bestFit="1" customWidth="1"/>
    <col min="15" max="16384" width="9.140625" style="2"/>
  </cols>
  <sheetData>
    <row r="1" spans="1:13" ht="20.25" x14ac:dyDescent="0.3">
      <c r="A1" s="255" t="s">
        <v>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4.45" customHeight="1" x14ac:dyDescent="0.3">
      <c r="A2" s="138"/>
      <c r="B2" s="138"/>
      <c r="C2" s="138"/>
      <c r="D2" s="138"/>
      <c r="E2" s="138"/>
      <c r="F2" s="138"/>
      <c r="G2" s="138"/>
      <c r="H2" s="138"/>
      <c r="I2" s="138"/>
      <c r="J2" s="60"/>
      <c r="K2" s="60"/>
      <c r="L2" s="138"/>
      <c r="M2" s="138"/>
    </row>
    <row r="3" spans="1:13" ht="18.75" x14ac:dyDescent="0.25">
      <c r="A3" s="256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8.75" x14ac:dyDescent="0.25">
      <c r="A4" s="256" t="s">
        <v>130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ht="17.45" customHeight="1" x14ac:dyDescent="0.2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 ht="16.149999999999999" customHeight="1" x14ac:dyDescent="0.25">
      <c r="A6" s="237" t="s">
        <v>8</v>
      </c>
      <c r="B6" s="238"/>
      <c r="C6" s="238"/>
      <c r="D6" s="238"/>
      <c r="E6" s="238"/>
      <c r="F6" s="238"/>
      <c r="G6" s="238"/>
      <c r="H6" s="238"/>
      <c r="I6" s="238"/>
      <c r="J6" s="239"/>
      <c r="K6" s="147"/>
      <c r="L6" s="75" t="s">
        <v>10</v>
      </c>
      <c r="M6" s="211" t="s">
        <v>11</v>
      </c>
    </row>
    <row r="7" spans="1:13" ht="37.9" customHeight="1" thickBot="1" x14ac:dyDescent="0.3">
      <c r="A7" s="258" t="s">
        <v>4</v>
      </c>
      <c r="B7" s="258"/>
      <c r="C7" s="258"/>
      <c r="D7" s="258"/>
      <c r="E7" s="258"/>
      <c r="F7" s="244" t="s">
        <v>5</v>
      </c>
      <c r="G7" s="245"/>
      <c r="H7" s="245"/>
      <c r="I7" s="54"/>
      <c r="J7" s="140" t="s">
        <v>131</v>
      </c>
      <c r="K7" s="106"/>
      <c r="L7" s="75"/>
      <c r="M7" s="257"/>
    </row>
    <row r="8" spans="1:13" ht="27" customHeight="1" thickBot="1" x14ac:dyDescent="0.3">
      <c r="A8" s="259" t="s">
        <v>29</v>
      </c>
      <c r="B8" s="260"/>
      <c r="C8" s="261"/>
      <c r="D8" s="261"/>
      <c r="E8" s="261"/>
      <c r="F8" s="262" t="s">
        <v>63</v>
      </c>
      <c r="G8" s="263"/>
      <c r="H8" s="264"/>
      <c r="I8" s="143"/>
      <c r="J8" s="50">
        <v>47.968000000000004</v>
      </c>
      <c r="K8" s="76"/>
      <c r="L8" s="75"/>
      <c r="M8" s="257"/>
    </row>
    <row r="9" spans="1:13" ht="13.9" customHeight="1" x14ac:dyDescent="0.25">
      <c r="A9" s="247"/>
      <c r="B9" s="262" t="s">
        <v>64</v>
      </c>
      <c r="C9" s="263"/>
      <c r="D9" s="263"/>
      <c r="E9" s="264"/>
      <c r="F9" s="268" t="s">
        <v>16</v>
      </c>
      <c r="G9" s="269"/>
      <c r="H9" s="270"/>
      <c r="I9" s="145"/>
      <c r="J9" s="43">
        <f>J13+J12+J14</f>
        <v>64.863724085714281</v>
      </c>
      <c r="K9" s="77"/>
      <c r="L9" s="75"/>
      <c r="M9" s="257"/>
    </row>
    <row r="10" spans="1:13" ht="13.9" customHeight="1" x14ac:dyDescent="0.25">
      <c r="A10" s="229"/>
      <c r="B10" s="265"/>
      <c r="C10" s="266"/>
      <c r="D10" s="266"/>
      <c r="E10" s="267"/>
      <c r="F10" s="237" t="s">
        <v>18</v>
      </c>
      <c r="G10" s="238"/>
      <c r="H10" s="239"/>
      <c r="I10" s="137"/>
      <c r="J10" s="31">
        <f>J8-J13-J12-J14</f>
        <v>-16.895724085714278</v>
      </c>
      <c r="K10" s="77"/>
      <c r="L10" s="75"/>
      <c r="M10" s="212"/>
    </row>
    <row r="11" spans="1:13" ht="13.9" customHeight="1" x14ac:dyDescent="0.25">
      <c r="A11" s="229"/>
      <c r="B11" s="240" t="s">
        <v>65</v>
      </c>
      <c r="C11" s="241"/>
      <c r="D11" s="241"/>
      <c r="E11" s="55">
        <f>D116</f>
        <v>5338.7000000000025</v>
      </c>
      <c r="F11" s="234"/>
      <c r="G11" s="235"/>
      <c r="H11" s="235"/>
      <c r="I11" s="235"/>
      <c r="J11" s="236"/>
      <c r="K11" s="77"/>
      <c r="L11" s="75"/>
      <c r="M11" s="41"/>
    </row>
    <row r="12" spans="1:13" ht="25.5" customHeight="1" x14ac:dyDescent="0.25">
      <c r="A12" s="229"/>
      <c r="B12" s="240" t="s">
        <v>67</v>
      </c>
      <c r="C12" s="241"/>
      <c r="D12" s="271"/>
      <c r="E12" s="56">
        <f>SUM(D42,D45,D49:D50,D52,D54:D56,D62,D65,D69,D72,D75:D77,D80,D86,D92:D93,D96,D98:D99,D105:D106,D112:D115)</f>
        <v>1959.6000000000001</v>
      </c>
      <c r="F12" s="237" t="s">
        <v>83</v>
      </c>
      <c r="G12" s="238"/>
      <c r="H12" s="239"/>
      <c r="I12" s="146"/>
      <c r="J12" s="7">
        <f>I116</f>
        <v>50.389714285714284</v>
      </c>
      <c r="K12" s="77"/>
      <c r="L12" s="75"/>
      <c r="M12" s="44"/>
    </row>
    <row r="13" spans="1:13" ht="25.5" customHeight="1" x14ac:dyDescent="0.25">
      <c r="A13" s="229"/>
      <c r="B13" s="240" t="s">
        <v>84</v>
      </c>
      <c r="C13" s="241"/>
      <c r="D13" s="241"/>
      <c r="E13" s="56">
        <f>SUM(D43:D44,D46:D48,D51,D53,D57:D61,D63:D64,D66:D68,D70:D71,D73:D74,D78:D79,D81:D85,D87:D88,D89:D91,D94:D95,D97,D100:D104,D107:D111)</f>
        <v>3379.1000000000004</v>
      </c>
      <c r="F13" s="237" t="s">
        <v>66</v>
      </c>
      <c r="G13" s="238"/>
      <c r="H13" s="239"/>
      <c r="I13" s="137"/>
      <c r="J13" s="7">
        <f>H116</f>
        <v>14.474009799999997</v>
      </c>
      <c r="K13" s="77"/>
      <c r="L13" s="75"/>
      <c r="M13" s="41"/>
    </row>
    <row r="14" spans="1:13" ht="25.5" customHeight="1" thickBot="1" x14ac:dyDescent="0.3">
      <c r="A14" s="230"/>
      <c r="B14" s="242" t="s">
        <v>85</v>
      </c>
      <c r="C14" s="243"/>
      <c r="D14" s="243"/>
      <c r="E14" s="57">
        <v>0</v>
      </c>
      <c r="F14" s="244" t="s">
        <v>86</v>
      </c>
      <c r="G14" s="245"/>
      <c r="H14" s="246"/>
      <c r="I14" s="142"/>
      <c r="J14" s="46">
        <v>0</v>
      </c>
      <c r="K14" s="77"/>
      <c r="L14" s="75"/>
      <c r="M14" s="41"/>
    </row>
    <row r="15" spans="1:13" ht="27.75" customHeight="1" thickBot="1" x14ac:dyDescent="0.3">
      <c r="A15" s="249" t="s">
        <v>90</v>
      </c>
      <c r="B15" s="250"/>
      <c r="C15" s="251"/>
      <c r="D15" s="251"/>
      <c r="E15" s="251"/>
      <c r="F15" s="252" t="s">
        <v>68</v>
      </c>
      <c r="G15" s="253"/>
      <c r="H15" s="254"/>
      <c r="I15" s="147"/>
      <c r="J15" s="150">
        <v>31.596</v>
      </c>
      <c r="K15" s="78"/>
      <c r="L15" s="75"/>
      <c r="M15" s="14"/>
    </row>
    <row r="16" spans="1:13" ht="13.9" customHeight="1" x14ac:dyDescent="0.25">
      <c r="A16" s="247"/>
      <c r="B16" s="248" t="s">
        <v>64</v>
      </c>
      <c r="C16" s="248"/>
      <c r="D16" s="248"/>
      <c r="E16" s="248"/>
      <c r="F16" s="248" t="s">
        <v>17</v>
      </c>
      <c r="G16" s="248"/>
      <c r="H16" s="248"/>
      <c r="I16" s="149"/>
      <c r="J16" s="43">
        <f>J20+J19+J21</f>
        <v>35.16107062857143</v>
      </c>
      <c r="K16" s="77"/>
      <c r="L16" s="75"/>
      <c r="M16" s="14" t="s">
        <v>52</v>
      </c>
    </row>
    <row r="17" spans="1:13" ht="13.9" customHeight="1" x14ac:dyDescent="0.25">
      <c r="A17" s="229"/>
      <c r="B17" s="232"/>
      <c r="C17" s="232"/>
      <c r="D17" s="232"/>
      <c r="E17" s="232"/>
      <c r="F17" s="232" t="s">
        <v>19</v>
      </c>
      <c r="G17" s="232"/>
      <c r="H17" s="232"/>
      <c r="I17" s="146"/>
      <c r="J17" s="31">
        <f>J15-J20-J19-J21</f>
        <v>-3.56507062857143</v>
      </c>
      <c r="K17" s="77"/>
      <c r="L17" s="75"/>
      <c r="M17" s="14" t="s">
        <v>32</v>
      </c>
    </row>
    <row r="18" spans="1:13" ht="13.9" customHeight="1" x14ac:dyDescent="0.25">
      <c r="A18" s="229"/>
      <c r="B18" s="233" t="s">
        <v>65</v>
      </c>
      <c r="C18" s="233"/>
      <c r="D18" s="233"/>
      <c r="E18" s="55">
        <f>D173</f>
        <v>3918.9999999999991</v>
      </c>
      <c r="F18" s="234"/>
      <c r="G18" s="235"/>
      <c r="H18" s="235"/>
      <c r="I18" s="235"/>
      <c r="J18" s="236"/>
      <c r="K18" s="77"/>
      <c r="L18" s="75"/>
      <c r="M18" s="14"/>
    </row>
    <row r="19" spans="1:13" ht="29.25" customHeight="1" x14ac:dyDescent="0.25">
      <c r="A19" s="229"/>
      <c r="B19" s="233" t="s">
        <v>67</v>
      </c>
      <c r="C19" s="233"/>
      <c r="D19" s="233"/>
      <c r="E19" s="56">
        <f>SUM(D117,D122,D126:D127,D129,D132,D137,D139,D147,D149,D163:D164,D169:D170)</f>
        <v>992.70000000000016</v>
      </c>
      <c r="F19" s="237" t="s">
        <v>83</v>
      </c>
      <c r="G19" s="238"/>
      <c r="H19" s="239"/>
      <c r="I19" s="146"/>
      <c r="J19" s="7">
        <f>I173</f>
        <v>25.526571428571426</v>
      </c>
      <c r="K19" s="77"/>
      <c r="L19" s="75"/>
      <c r="M19" s="14"/>
    </row>
    <row r="20" spans="1:13" ht="29.25" customHeight="1" x14ac:dyDescent="0.25">
      <c r="A20" s="229"/>
      <c r="B20" s="240" t="s">
        <v>84</v>
      </c>
      <c r="C20" s="241"/>
      <c r="D20" s="241"/>
      <c r="E20" s="56">
        <f>SUM(D118:D121,D123:D125,D128,D130:D131,D133:D136,D138,D140:D146,D148,D150:D157,D158:D162,D165:D168,D171:D172)</f>
        <v>2926.2999999999993</v>
      </c>
      <c r="F20" s="232" t="s">
        <v>66</v>
      </c>
      <c r="G20" s="232"/>
      <c r="H20" s="232"/>
      <c r="I20" s="146"/>
      <c r="J20" s="7">
        <f>H173</f>
        <v>9.634499200000004</v>
      </c>
      <c r="K20" s="77"/>
      <c r="L20" s="75"/>
      <c r="M20" s="14"/>
    </row>
    <row r="21" spans="1:13" ht="29.25" customHeight="1" thickBot="1" x14ac:dyDescent="0.3">
      <c r="A21" s="230"/>
      <c r="B21" s="242" t="s">
        <v>85</v>
      </c>
      <c r="C21" s="243"/>
      <c r="D21" s="243"/>
      <c r="E21" s="57">
        <v>0</v>
      </c>
      <c r="F21" s="244" t="s">
        <v>86</v>
      </c>
      <c r="G21" s="245"/>
      <c r="H21" s="246"/>
      <c r="I21" s="142"/>
      <c r="J21" s="46">
        <v>0</v>
      </c>
      <c r="K21" s="77"/>
      <c r="L21" s="75"/>
      <c r="M21" s="14"/>
    </row>
    <row r="22" spans="1:13" ht="24.75" customHeight="1" thickBot="1" x14ac:dyDescent="0.3">
      <c r="A22" s="226" t="s">
        <v>30</v>
      </c>
      <c r="B22" s="227"/>
      <c r="C22" s="227"/>
      <c r="D22" s="227"/>
      <c r="E22" s="227"/>
      <c r="F22" s="228" t="s">
        <v>20</v>
      </c>
      <c r="G22" s="228"/>
      <c r="H22" s="228"/>
      <c r="I22" s="148"/>
      <c r="J22" s="51">
        <v>48.996000000000002</v>
      </c>
      <c r="K22" s="78"/>
      <c r="L22" s="75"/>
      <c r="M22" s="11"/>
    </row>
    <row r="23" spans="1:13" ht="13.9" customHeight="1" x14ac:dyDescent="0.25">
      <c r="A23" s="247"/>
      <c r="B23" s="248" t="s">
        <v>64</v>
      </c>
      <c r="C23" s="248"/>
      <c r="D23" s="248"/>
      <c r="E23" s="248"/>
      <c r="F23" s="248" t="s">
        <v>21</v>
      </c>
      <c r="G23" s="248"/>
      <c r="H23" s="248"/>
      <c r="I23" s="149"/>
      <c r="J23" s="43">
        <f>J27+J26+J28</f>
        <v>32.500589771428572</v>
      </c>
      <c r="K23" s="77"/>
      <c r="L23" s="75"/>
      <c r="M23" s="3"/>
    </row>
    <row r="24" spans="1:13" ht="13.9" customHeight="1" x14ac:dyDescent="0.25">
      <c r="A24" s="229"/>
      <c r="B24" s="232"/>
      <c r="C24" s="232"/>
      <c r="D24" s="232"/>
      <c r="E24" s="232"/>
      <c r="F24" s="232" t="s">
        <v>22</v>
      </c>
      <c r="G24" s="232"/>
      <c r="H24" s="232"/>
      <c r="I24" s="146"/>
      <c r="J24" s="31">
        <f>J22-J27-J26-J28</f>
        <v>16.495410228571426</v>
      </c>
      <c r="K24" s="77"/>
      <c r="L24" s="75"/>
      <c r="M24" s="3"/>
    </row>
    <row r="25" spans="1:13" ht="13.9" customHeight="1" x14ac:dyDescent="0.25">
      <c r="A25" s="229"/>
      <c r="B25" s="233" t="s">
        <v>65</v>
      </c>
      <c r="C25" s="233"/>
      <c r="D25" s="233"/>
      <c r="E25" s="55">
        <f>D226</f>
        <v>3672.6000000000013</v>
      </c>
      <c r="F25" s="234"/>
      <c r="G25" s="235"/>
      <c r="H25" s="235"/>
      <c r="I25" s="235"/>
      <c r="J25" s="236"/>
      <c r="K25" s="77"/>
      <c r="L25" s="75"/>
      <c r="M25" s="3"/>
    </row>
    <row r="26" spans="1:13" ht="27.75" customHeight="1" x14ac:dyDescent="0.25">
      <c r="A26" s="229"/>
      <c r="B26" s="233" t="s">
        <v>67</v>
      </c>
      <c r="C26" s="233"/>
      <c r="D26" s="233"/>
      <c r="E26" s="56">
        <f>SUM(D179,D184,D187,D192,D198,D201,D205,D210:D211,D216,D221,D223:D225)</f>
        <v>963.79999999999984</v>
      </c>
      <c r="F26" s="237" t="s">
        <v>83</v>
      </c>
      <c r="G26" s="238"/>
      <c r="H26" s="239"/>
      <c r="I26" s="146"/>
      <c r="J26" s="7">
        <f>I226</f>
        <v>24.783428571428569</v>
      </c>
      <c r="K26" s="77"/>
      <c r="L26" s="75"/>
      <c r="M26" s="3"/>
    </row>
    <row r="27" spans="1:13" ht="27.75" customHeight="1" x14ac:dyDescent="0.25">
      <c r="A27" s="229"/>
      <c r="B27" s="240" t="s">
        <v>84</v>
      </c>
      <c r="C27" s="241"/>
      <c r="D27" s="241"/>
      <c r="E27" s="56">
        <f>SUM(D174:D178,D180:D183,D185:D186,D188:D191,D193:D197,D199:D200,D202:D204,D206:D209,D212:D215,D217:D220,D222)</f>
        <v>2708.8</v>
      </c>
      <c r="F27" s="232" t="s">
        <v>66</v>
      </c>
      <c r="G27" s="232"/>
      <c r="H27" s="232"/>
      <c r="I27" s="146"/>
      <c r="J27" s="7">
        <f>H226</f>
        <v>7.7171612000000041</v>
      </c>
      <c r="K27" s="77"/>
      <c r="L27" s="75"/>
      <c r="M27" s="3"/>
    </row>
    <row r="28" spans="1:13" ht="27.75" customHeight="1" thickBot="1" x14ac:dyDescent="0.3">
      <c r="A28" s="230"/>
      <c r="B28" s="242" t="s">
        <v>85</v>
      </c>
      <c r="C28" s="243"/>
      <c r="D28" s="243"/>
      <c r="E28" s="57">
        <v>0</v>
      </c>
      <c r="F28" s="244" t="s">
        <v>86</v>
      </c>
      <c r="G28" s="245"/>
      <c r="H28" s="246"/>
      <c r="I28" s="142"/>
      <c r="J28" s="46">
        <v>0</v>
      </c>
      <c r="K28" s="77"/>
      <c r="L28" s="75"/>
      <c r="M28" s="3"/>
    </row>
    <row r="29" spans="1:13" ht="25.5" customHeight="1" thickBot="1" x14ac:dyDescent="0.3">
      <c r="A29" s="226" t="s">
        <v>31</v>
      </c>
      <c r="B29" s="227"/>
      <c r="C29" s="227"/>
      <c r="D29" s="227"/>
      <c r="E29" s="227"/>
      <c r="F29" s="228" t="s">
        <v>23</v>
      </c>
      <c r="G29" s="228"/>
      <c r="H29" s="228"/>
      <c r="I29" s="148"/>
      <c r="J29" s="51">
        <v>38.426000000000002</v>
      </c>
      <c r="K29" s="78"/>
      <c r="L29" s="75"/>
      <c r="M29" s="3"/>
    </row>
    <row r="30" spans="1:13" ht="13.9" customHeight="1" x14ac:dyDescent="0.25">
      <c r="A30" s="229"/>
      <c r="B30" s="231" t="s">
        <v>64</v>
      </c>
      <c r="C30" s="231"/>
      <c r="D30" s="231"/>
      <c r="E30" s="231"/>
      <c r="F30" s="231" t="s">
        <v>24</v>
      </c>
      <c r="G30" s="231"/>
      <c r="H30" s="231"/>
      <c r="I30" s="151"/>
      <c r="J30" s="45">
        <f>J34+J33+J35</f>
        <v>65.385730000000009</v>
      </c>
      <c r="K30" s="77"/>
      <c r="L30" s="75"/>
      <c r="M30" s="3"/>
    </row>
    <row r="31" spans="1:13" ht="13.9" customHeight="1" x14ac:dyDescent="0.25">
      <c r="A31" s="229"/>
      <c r="B31" s="232"/>
      <c r="C31" s="232"/>
      <c r="D31" s="232"/>
      <c r="E31" s="232"/>
      <c r="F31" s="232" t="s">
        <v>25</v>
      </c>
      <c r="G31" s="232"/>
      <c r="H31" s="232"/>
      <c r="I31" s="146"/>
      <c r="J31" s="31">
        <f>J29-J34-J33-J35</f>
        <v>-26.959730000000008</v>
      </c>
      <c r="K31" s="77"/>
      <c r="L31" s="75"/>
      <c r="M31" s="3"/>
    </row>
    <row r="32" spans="1:13" ht="13.9" customHeight="1" x14ac:dyDescent="0.25">
      <c r="A32" s="229"/>
      <c r="B32" s="233" t="s">
        <v>65</v>
      </c>
      <c r="C32" s="233"/>
      <c r="D32" s="233"/>
      <c r="E32" s="55">
        <f>D292</f>
        <v>4660.1000000000022</v>
      </c>
      <c r="F32" s="234"/>
      <c r="G32" s="235"/>
      <c r="H32" s="235"/>
      <c r="I32" s="235"/>
      <c r="J32" s="236"/>
      <c r="K32" s="77"/>
      <c r="L32" s="75"/>
      <c r="M32" s="3"/>
    </row>
    <row r="33" spans="1:13" ht="26.25" customHeight="1" x14ac:dyDescent="0.25">
      <c r="A33" s="229"/>
      <c r="B33" s="233" t="s">
        <v>67</v>
      </c>
      <c r="C33" s="233"/>
      <c r="D33" s="233"/>
      <c r="E33" s="56">
        <f>SUM(D227:D230,D232,D238,D243,D247:D251,D253:D256,D258:D259,D261,D263,D269:D270,D272:D273,D275,D278,D280,D284:D287,D290)</f>
        <v>2146.8999999999996</v>
      </c>
      <c r="F33" s="237" t="s">
        <v>83</v>
      </c>
      <c r="G33" s="238"/>
      <c r="H33" s="239"/>
      <c r="I33" s="146"/>
      <c r="J33" s="7">
        <f>I292</f>
        <v>55.20600000000001</v>
      </c>
      <c r="K33" s="77"/>
      <c r="L33" s="75"/>
      <c r="M33" s="3"/>
    </row>
    <row r="34" spans="1:13" ht="26.25" customHeight="1" x14ac:dyDescent="0.25">
      <c r="A34" s="229"/>
      <c r="B34" s="240" t="s">
        <v>84</v>
      </c>
      <c r="C34" s="241"/>
      <c r="D34" s="241"/>
      <c r="E34" s="56">
        <f>SUM(D231,D233:D237,D239:D241,D242,D244:D246,D252,D257,D260,D262,D264:D268,D271,D274,D276:D277,D279,D281:D282,D283,D288:D289,D291)</f>
        <v>2513.2000000000003</v>
      </c>
      <c r="F34" s="232" t="s">
        <v>66</v>
      </c>
      <c r="G34" s="232"/>
      <c r="H34" s="232"/>
      <c r="I34" s="146"/>
      <c r="J34" s="7">
        <f>H292</f>
        <v>10.179729999999999</v>
      </c>
      <c r="K34" s="77"/>
      <c r="L34" s="75"/>
      <c r="M34" s="3"/>
    </row>
    <row r="35" spans="1:13" ht="26.25" customHeight="1" thickBot="1" x14ac:dyDescent="0.3">
      <c r="A35" s="230"/>
      <c r="B35" s="242" t="s">
        <v>85</v>
      </c>
      <c r="C35" s="243"/>
      <c r="D35" s="243"/>
      <c r="E35" s="57">
        <v>0</v>
      </c>
      <c r="F35" s="244" t="s">
        <v>86</v>
      </c>
      <c r="G35" s="245"/>
      <c r="H35" s="246"/>
      <c r="I35" s="142"/>
      <c r="J35" s="46">
        <v>0</v>
      </c>
      <c r="K35" s="77"/>
      <c r="L35" s="75"/>
      <c r="M35" s="3"/>
    </row>
    <row r="36" spans="1:13" ht="13.9" customHeight="1" x14ac:dyDescent="0.25">
      <c r="A36" s="79"/>
      <c r="B36" s="79"/>
      <c r="C36" s="79"/>
      <c r="D36" s="79"/>
      <c r="E36" s="79"/>
      <c r="F36" s="204" t="s">
        <v>26</v>
      </c>
      <c r="G36" s="205"/>
      <c r="H36" s="206"/>
      <c r="I36" s="147"/>
      <c r="J36" s="223">
        <f>J8+J15+J22+J29</f>
        <v>166.98599999999999</v>
      </c>
      <c r="K36" s="80"/>
      <c r="L36" s="75"/>
      <c r="M36" s="3"/>
    </row>
    <row r="37" spans="1:13" ht="13.9" customHeight="1" x14ac:dyDescent="0.25">
      <c r="A37" s="79"/>
      <c r="B37" s="79"/>
      <c r="C37" s="79"/>
      <c r="D37" s="79"/>
      <c r="E37" s="79"/>
      <c r="F37" s="224" t="s">
        <v>27</v>
      </c>
      <c r="G37" s="225"/>
      <c r="H37" s="214"/>
      <c r="I37" s="79"/>
      <c r="J37" s="223"/>
      <c r="K37" s="80"/>
      <c r="L37" s="75"/>
      <c r="M37" s="3"/>
    </row>
    <row r="38" spans="1:13" ht="13.9" customHeight="1" x14ac:dyDescent="0.25">
      <c r="A38" s="79"/>
      <c r="B38" s="79"/>
      <c r="C38" s="79"/>
      <c r="D38" s="79"/>
      <c r="E38" s="79"/>
      <c r="F38" s="213" t="s">
        <v>28</v>
      </c>
      <c r="G38" s="214"/>
      <c r="H38" s="215"/>
      <c r="I38" s="81"/>
      <c r="J38" s="31">
        <f>J9+J16+J23+J30</f>
        <v>197.91111448571428</v>
      </c>
      <c r="K38" s="77"/>
      <c r="L38" s="75"/>
      <c r="M38" s="3"/>
    </row>
    <row r="39" spans="1:13" ht="13.9" customHeight="1" thickBot="1" x14ac:dyDescent="0.3">
      <c r="A39" s="79"/>
      <c r="B39" s="79"/>
      <c r="C39" s="79"/>
      <c r="D39" s="79"/>
      <c r="E39" s="79"/>
      <c r="F39" s="216" t="s">
        <v>9</v>
      </c>
      <c r="G39" s="217"/>
      <c r="H39" s="218"/>
      <c r="I39" s="82"/>
      <c r="J39" s="61">
        <f>J10+J17+J24+J31</f>
        <v>-30.925114485714289</v>
      </c>
      <c r="K39" s="77"/>
      <c r="L39" s="75"/>
      <c r="M39" s="3"/>
    </row>
    <row r="40" spans="1:13" ht="14.45" customHeight="1" x14ac:dyDescent="0.25">
      <c r="M40" s="3"/>
    </row>
    <row r="41" spans="1:13" s="11" customFormat="1" ht="61.5" customHeight="1" x14ac:dyDescent="0.25">
      <c r="A41" s="83" t="s">
        <v>0</v>
      </c>
      <c r="B41" s="83" t="s">
        <v>55</v>
      </c>
      <c r="C41" s="84" t="s">
        <v>1</v>
      </c>
      <c r="D41" s="83" t="s">
        <v>2</v>
      </c>
      <c r="E41" s="85" t="s">
        <v>128</v>
      </c>
      <c r="F41" s="85" t="s">
        <v>132</v>
      </c>
      <c r="G41" s="85" t="s">
        <v>33</v>
      </c>
      <c r="H41" s="85" t="s">
        <v>12</v>
      </c>
      <c r="I41" s="86" t="s">
        <v>87</v>
      </c>
      <c r="J41" s="63" t="s">
        <v>6</v>
      </c>
      <c r="K41" s="87" t="s">
        <v>13</v>
      </c>
      <c r="L41" s="88"/>
      <c r="M41" s="13"/>
    </row>
    <row r="42" spans="1:13" x14ac:dyDescent="0.25">
      <c r="A42" s="1">
        <v>1</v>
      </c>
      <c r="B42" s="1"/>
      <c r="C42" s="66">
        <v>43441363</v>
      </c>
      <c r="D42" s="146">
        <v>112.5</v>
      </c>
      <c r="E42" s="5">
        <v>86.608000000000004</v>
      </c>
      <c r="F42" s="5">
        <v>88.509</v>
      </c>
      <c r="G42" s="28"/>
      <c r="H42" s="16">
        <f>G42*0.8598</f>
        <v>0</v>
      </c>
      <c r="I42" s="16">
        <f>((D42*0.015)*12)/7</f>
        <v>2.8928571428571428</v>
      </c>
      <c r="J42" s="16">
        <f>D42/($E$11-$E$13)*$J$10</f>
        <v>-0.9699780361516912</v>
      </c>
      <c r="K42" s="16">
        <f>H42+I42+J42</f>
        <v>1.9228791067054516</v>
      </c>
      <c r="M42" s="13" t="s">
        <v>71</v>
      </c>
    </row>
    <row r="43" spans="1:13" x14ac:dyDescent="0.25">
      <c r="A43" s="1">
        <v>2</v>
      </c>
      <c r="B43" s="47">
        <v>45915</v>
      </c>
      <c r="C43" s="66">
        <v>43242252</v>
      </c>
      <c r="D43" s="146">
        <v>58.7</v>
      </c>
      <c r="E43" s="5">
        <v>50.517000000000003</v>
      </c>
      <c r="F43" s="5">
        <v>50.719000000000001</v>
      </c>
      <c r="G43" s="28">
        <f>F43-E43</f>
        <v>0.20199999999999818</v>
      </c>
      <c r="H43" s="16">
        <f t="shared" ref="H43:H106" si="0">G43*0.8598</f>
        <v>0.17367959999999844</v>
      </c>
      <c r="I43" s="16"/>
      <c r="J43" s="16"/>
      <c r="K43" s="16">
        <f>H43+I43+J43</f>
        <v>0.17367959999999844</v>
      </c>
      <c r="M43" s="13" t="s">
        <v>69</v>
      </c>
    </row>
    <row r="44" spans="1:13" x14ac:dyDescent="0.25">
      <c r="A44" s="1">
        <v>3</v>
      </c>
      <c r="B44" s="52">
        <v>45686</v>
      </c>
      <c r="C44" s="10" t="s">
        <v>91</v>
      </c>
      <c r="D44" s="146">
        <v>50.5</v>
      </c>
      <c r="E44" s="39">
        <v>3.5985</v>
      </c>
      <c r="F44" s="39">
        <v>3.7202999999999999</v>
      </c>
      <c r="G44" s="5"/>
      <c r="H44" s="16">
        <f>F44-E44</f>
        <v>0.12179999999999991</v>
      </c>
      <c r="I44" s="16"/>
      <c r="J44" s="16"/>
      <c r="K44" s="16">
        <f t="shared" ref="K44:K58" si="1">H44+I44+J44</f>
        <v>0.12179999999999991</v>
      </c>
      <c r="M44" s="13" t="s">
        <v>69</v>
      </c>
    </row>
    <row r="45" spans="1:13" x14ac:dyDescent="0.25">
      <c r="A45" s="1">
        <v>4</v>
      </c>
      <c r="B45" s="34"/>
      <c r="C45" s="66">
        <v>43441362</v>
      </c>
      <c r="D45" s="137">
        <v>51.8</v>
      </c>
      <c r="E45" s="5">
        <v>35.265999999999998</v>
      </c>
      <c r="F45" s="5">
        <v>35.363</v>
      </c>
      <c r="G45" s="5"/>
      <c r="H45" s="16">
        <f t="shared" si="0"/>
        <v>0</v>
      </c>
      <c r="I45" s="16">
        <f>((D45*0.015)*12)/7</f>
        <v>1.3319999999999996</v>
      </c>
      <c r="J45" s="16">
        <f>D45/($E$11-$E$13)*$J$10</f>
        <v>-0.4466209979791787</v>
      </c>
      <c r="K45" s="16">
        <f t="shared" si="1"/>
        <v>0.88537900202082098</v>
      </c>
      <c r="M45" s="13" t="s">
        <v>71</v>
      </c>
    </row>
    <row r="46" spans="1:13" x14ac:dyDescent="0.25">
      <c r="A46" s="1">
        <v>5</v>
      </c>
      <c r="B46" s="47">
        <v>45598</v>
      </c>
      <c r="C46" s="66">
        <v>43242251</v>
      </c>
      <c r="D46" s="137">
        <v>52.9</v>
      </c>
      <c r="E46" s="5">
        <v>25.872</v>
      </c>
      <c r="F46" s="5">
        <v>25.968</v>
      </c>
      <c r="G46" s="5">
        <f>F46-E46</f>
        <v>9.6000000000000085E-2</v>
      </c>
      <c r="H46" s="16">
        <f t="shared" si="0"/>
        <v>8.2540800000000081E-2</v>
      </c>
      <c r="I46" s="16"/>
      <c r="J46" s="16"/>
      <c r="K46" s="16">
        <f t="shared" si="1"/>
        <v>8.2540800000000081E-2</v>
      </c>
      <c r="M46" s="13" t="s">
        <v>69</v>
      </c>
    </row>
    <row r="47" spans="1:13" x14ac:dyDescent="0.25">
      <c r="A47" s="1">
        <v>6</v>
      </c>
      <c r="B47" s="47">
        <v>45453</v>
      </c>
      <c r="C47" s="10" t="s">
        <v>56</v>
      </c>
      <c r="D47" s="137">
        <v>99.6</v>
      </c>
      <c r="E47" s="39">
        <v>10.837</v>
      </c>
      <c r="F47" s="39">
        <v>10.851000000000001</v>
      </c>
      <c r="G47" s="39"/>
      <c r="H47" s="16">
        <f>F47-E47</f>
        <v>1.4000000000001123E-2</v>
      </c>
      <c r="I47" s="16"/>
      <c r="J47" s="16"/>
      <c r="K47" s="16">
        <f t="shared" si="1"/>
        <v>1.4000000000001123E-2</v>
      </c>
      <c r="M47" s="13" t="s">
        <v>69</v>
      </c>
    </row>
    <row r="48" spans="1:13" x14ac:dyDescent="0.25">
      <c r="A48" s="1">
        <v>7</v>
      </c>
      <c r="B48" s="47">
        <v>45594</v>
      </c>
      <c r="C48" s="10" t="s">
        <v>70</v>
      </c>
      <c r="D48" s="137">
        <v>112.6</v>
      </c>
      <c r="E48" s="39">
        <v>13.3698</v>
      </c>
      <c r="F48" s="39">
        <v>13.654</v>
      </c>
      <c r="G48" s="39"/>
      <c r="H48" s="16">
        <f>F48-E48</f>
        <v>0.28420000000000023</v>
      </c>
      <c r="I48" s="16"/>
      <c r="J48" s="16"/>
      <c r="K48" s="16">
        <f t="shared" si="1"/>
        <v>0.28420000000000023</v>
      </c>
      <c r="M48" s="13" t="s">
        <v>69</v>
      </c>
    </row>
    <row r="49" spans="1:13" x14ac:dyDescent="0.25">
      <c r="A49" s="1">
        <v>8</v>
      </c>
      <c r="B49" s="34"/>
      <c r="C49" s="66">
        <v>43441368</v>
      </c>
      <c r="D49" s="137">
        <v>62.5</v>
      </c>
      <c r="E49" s="5">
        <v>18.164999999999999</v>
      </c>
      <c r="F49" s="5">
        <v>18.164999999999999</v>
      </c>
      <c r="G49" s="5"/>
      <c r="H49" s="16">
        <f t="shared" si="0"/>
        <v>0</v>
      </c>
      <c r="I49" s="16">
        <f t="shared" ref="I49:I56" si="2">((D49*0.015)*12)/7</f>
        <v>1.6071428571428572</v>
      </c>
      <c r="J49" s="16">
        <f t="shared" ref="J49:J50" si="3">D49/($E$11-$E$13)*$J$10</f>
        <v>-0.53887668675093958</v>
      </c>
      <c r="K49" s="16">
        <f t="shared" si="1"/>
        <v>1.0682661703919176</v>
      </c>
      <c r="M49" s="13" t="s">
        <v>71</v>
      </c>
    </row>
    <row r="50" spans="1:13" x14ac:dyDescent="0.25">
      <c r="A50" s="1">
        <v>9</v>
      </c>
      <c r="B50" s="33"/>
      <c r="C50" s="66">
        <v>43441366</v>
      </c>
      <c r="D50" s="146">
        <v>50.5</v>
      </c>
      <c r="E50" s="5">
        <v>44.137</v>
      </c>
      <c r="F50" s="5">
        <v>44.482999999999997</v>
      </c>
      <c r="G50" s="5"/>
      <c r="H50" s="16">
        <f t="shared" si="0"/>
        <v>0</v>
      </c>
      <c r="I50" s="16">
        <f t="shared" si="2"/>
        <v>1.2985714285714285</v>
      </c>
      <c r="J50" s="16">
        <f t="shared" si="3"/>
        <v>-0.43541236289475915</v>
      </c>
      <c r="K50" s="16">
        <f t="shared" si="1"/>
        <v>0.86315906567666933</v>
      </c>
      <c r="M50" s="13" t="s">
        <v>71</v>
      </c>
    </row>
    <row r="51" spans="1:13" x14ac:dyDescent="0.25">
      <c r="A51" s="1">
        <v>10</v>
      </c>
      <c r="B51" s="47">
        <v>45746</v>
      </c>
      <c r="C51" s="66">
        <v>43441367</v>
      </c>
      <c r="D51" s="146">
        <v>52.3</v>
      </c>
      <c r="E51" s="5">
        <v>14.957000000000001</v>
      </c>
      <c r="F51" s="5">
        <v>14.957000000000001</v>
      </c>
      <c r="G51" s="5">
        <f>F51-E51</f>
        <v>0</v>
      </c>
      <c r="H51" s="16">
        <f t="shared" si="0"/>
        <v>0</v>
      </c>
      <c r="I51" s="16"/>
      <c r="J51" s="16"/>
      <c r="K51" s="16">
        <f t="shared" si="1"/>
        <v>0</v>
      </c>
      <c r="M51" s="13" t="s">
        <v>69</v>
      </c>
    </row>
    <row r="52" spans="1:13" x14ac:dyDescent="0.25">
      <c r="A52" s="1">
        <v>11</v>
      </c>
      <c r="B52" s="33"/>
      <c r="C52" s="66">
        <v>43441360</v>
      </c>
      <c r="D52" s="146">
        <v>53</v>
      </c>
      <c r="E52" s="5">
        <v>20.632999999999999</v>
      </c>
      <c r="F52" s="5">
        <v>20.683</v>
      </c>
      <c r="G52" s="5"/>
      <c r="H52" s="16">
        <f t="shared" si="0"/>
        <v>0</v>
      </c>
      <c r="I52" s="16">
        <f t="shared" si="2"/>
        <v>1.3628571428571428</v>
      </c>
      <c r="J52" s="16">
        <f>D52/($E$11-$E$13)*$J$10</f>
        <v>-0.45696743036479676</v>
      </c>
      <c r="K52" s="16">
        <f t="shared" si="1"/>
        <v>0.90588971249234596</v>
      </c>
      <c r="M52" s="13" t="s">
        <v>71</v>
      </c>
    </row>
    <row r="53" spans="1:13" x14ac:dyDescent="0.25">
      <c r="A53" s="1">
        <v>12</v>
      </c>
      <c r="B53" s="47">
        <v>45600</v>
      </c>
      <c r="C53" s="66">
        <v>43441365</v>
      </c>
      <c r="D53" s="146">
        <v>100.2</v>
      </c>
      <c r="E53" s="5">
        <v>56.545000000000002</v>
      </c>
      <c r="F53" s="5">
        <v>56.863999999999997</v>
      </c>
      <c r="G53" s="5">
        <f>F53-E53</f>
        <v>0.31899999999999551</v>
      </c>
      <c r="H53" s="16">
        <f>G53*0.8598</f>
        <v>0.27427619999999614</v>
      </c>
      <c r="I53" s="16"/>
      <c r="J53" s="16"/>
      <c r="K53" s="16">
        <f t="shared" si="1"/>
        <v>0.27427619999999614</v>
      </c>
      <c r="M53" s="13" t="s">
        <v>69</v>
      </c>
    </row>
    <row r="54" spans="1:13" x14ac:dyDescent="0.25">
      <c r="A54" s="1">
        <v>13</v>
      </c>
      <c r="B54" s="33"/>
      <c r="C54" s="67">
        <v>43441377</v>
      </c>
      <c r="D54" s="146">
        <v>112.4</v>
      </c>
      <c r="E54" s="5">
        <v>69.683000000000007</v>
      </c>
      <c r="F54" s="5">
        <v>70.981999999999999</v>
      </c>
      <c r="G54" s="5"/>
      <c r="H54" s="16">
        <f t="shared" si="0"/>
        <v>0</v>
      </c>
      <c r="I54" s="16">
        <f t="shared" si="2"/>
        <v>2.8902857142857141</v>
      </c>
      <c r="J54" s="16">
        <f t="shared" ref="J54:J56" si="4">D54/($E$11-$E$13)*$J$10</f>
        <v>-0.96911583345288976</v>
      </c>
      <c r="K54" s="16">
        <f t="shared" si="1"/>
        <v>1.9211698808328244</v>
      </c>
      <c r="M54" s="13" t="s">
        <v>71</v>
      </c>
    </row>
    <row r="55" spans="1:13" x14ac:dyDescent="0.25">
      <c r="A55" s="1">
        <v>14</v>
      </c>
      <c r="B55" s="33"/>
      <c r="C55" s="67">
        <v>43441370</v>
      </c>
      <c r="D55" s="146">
        <v>63.8</v>
      </c>
      <c r="E55" s="5">
        <v>70.37</v>
      </c>
      <c r="F55" s="5">
        <v>71.564999999999998</v>
      </c>
      <c r="G55" s="5"/>
      <c r="H55" s="16">
        <f t="shared" si="0"/>
        <v>0</v>
      </c>
      <c r="I55" s="16">
        <f t="shared" si="2"/>
        <v>1.6405714285714286</v>
      </c>
      <c r="J55" s="16">
        <f t="shared" si="4"/>
        <v>-0.55008532183535908</v>
      </c>
      <c r="K55" s="16">
        <f t="shared" si="1"/>
        <v>1.0904861067360696</v>
      </c>
      <c r="M55" s="13" t="s">
        <v>71</v>
      </c>
    </row>
    <row r="56" spans="1:13" x14ac:dyDescent="0.25">
      <c r="A56" s="1">
        <v>15</v>
      </c>
      <c r="B56" s="33"/>
      <c r="C56" s="66">
        <v>43441369</v>
      </c>
      <c r="D56" s="146">
        <v>50.9</v>
      </c>
      <c r="E56" s="5">
        <v>38.435000000000002</v>
      </c>
      <c r="F56" s="5">
        <v>38.716999999999999</v>
      </c>
      <c r="G56" s="5"/>
      <c r="H56" s="16">
        <f t="shared" si="0"/>
        <v>0</v>
      </c>
      <c r="I56" s="16">
        <f t="shared" si="2"/>
        <v>1.3088571428571427</v>
      </c>
      <c r="J56" s="16">
        <f t="shared" si="4"/>
        <v>-0.43886117368996519</v>
      </c>
      <c r="K56" s="16">
        <f t="shared" si="1"/>
        <v>0.86999596916717747</v>
      </c>
      <c r="M56" s="13" t="s">
        <v>71</v>
      </c>
    </row>
    <row r="57" spans="1:13" x14ac:dyDescent="0.25">
      <c r="A57" s="1">
        <v>16</v>
      </c>
      <c r="B57" s="47">
        <v>45900</v>
      </c>
      <c r="C57" s="66">
        <v>43441375</v>
      </c>
      <c r="D57" s="146">
        <v>52.4</v>
      </c>
      <c r="E57" s="5">
        <v>27.977</v>
      </c>
      <c r="F57" s="5">
        <v>28.28</v>
      </c>
      <c r="G57" s="5">
        <f>F57-E57</f>
        <v>0.30300000000000082</v>
      </c>
      <c r="H57" s="16">
        <f t="shared" si="0"/>
        <v>0.26051940000000073</v>
      </c>
      <c r="I57" s="16"/>
      <c r="J57" s="16"/>
      <c r="K57" s="16">
        <f t="shared" si="1"/>
        <v>0.26051940000000073</v>
      </c>
      <c r="M57" s="13" t="s">
        <v>69</v>
      </c>
    </row>
    <row r="58" spans="1:13" x14ac:dyDescent="0.25">
      <c r="A58" s="1">
        <v>17</v>
      </c>
      <c r="B58" s="47">
        <v>45595</v>
      </c>
      <c r="C58" s="66">
        <v>43441376</v>
      </c>
      <c r="D58" s="146">
        <v>53.3</v>
      </c>
      <c r="E58" s="5">
        <v>50.338000000000001</v>
      </c>
      <c r="F58" s="5">
        <v>51.494999999999997</v>
      </c>
      <c r="G58" s="5">
        <f>F58-E58</f>
        <v>1.1569999999999965</v>
      </c>
      <c r="H58" s="16">
        <f>G58*0.8598</f>
        <v>0.99478859999999703</v>
      </c>
      <c r="I58" s="16"/>
      <c r="J58" s="16"/>
      <c r="K58" s="16">
        <f t="shared" si="1"/>
        <v>0.99478859999999703</v>
      </c>
      <c r="M58" s="13" t="s">
        <v>69</v>
      </c>
    </row>
    <row r="59" spans="1:13" ht="15.75" customHeight="1" x14ac:dyDescent="0.25">
      <c r="A59" s="1">
        <v>18</v>
      </c>
      <c r="B59" s="47">
        <v>45700</v>
      </c>
      <c r="C59" s="66">
        <v>43441361</v>
      </c>
      <c r="D59" s="146">
        <v>100.6</v>
      </c>
      <c r="E59" s="5">
        <v>5.0510000000000002</v>
      </c>
      <c r="F59" s="5">
        <v>5.0519999999999996</v>
      </c>
      <c r="G59" s="5">
        <f>F59-E59</f>
        <v>9.9999999999944578E-4</v>
      </c>
      <c r="H59" s="16">
        <f t="shared" si="0"/>
        <v>8.5979999999952347E-4</v>
      </c>
      <c r="I59" s="16"/>
      <c r="J59" s="16"/>
      <c r="K59" s="16">
        <f>H59+I59+J59</f>
        <v>8.5979999999952347E-4</v>
      </c>
      <c r="M59" s="13" t="s">
        <v>69</v>
      </c>
    </row>
    <row r="60" spans="1:13" x14ac:dyDescent="0.25">
      <c r="A60" s="1">
        <v>19</v>
      </c>
      <c r="B60" s="47">
        <v>45767</v>
      </c>
      <c r="C60" s="66">
        <v>43441266</v>
      </c>
      <c r="D60" s="146">
        <v>112.4</v>
      </c>
      <c r="E60" s="5">
        <v>47.170999999999999</v>
      </c>
      <c r="F60" s="5">
        <v>47.314</v>
      </c>
      <c r="G60" s="5">
        <f>F60-E60</f>
        <v>0.14300000000000068</v>
      </c>
      <c r="H60" s="16">
        <f t="shared" si="0"/>
        <v>0.12295140000000059</v>
      </c>
      <c r="I60" s="16"/>
      <c r="J60" s="16"/>
      <c r="K60" s="16">
        <f t="shared" ref="K60:K114" si="5">H60+I60+J60</f>
        <v>0.12295140000000059</v>
      </c>
      <c r="M60" s="13" t="s">
        <v>69</v>
      </c>
    </row>
    <row r="61" spans="1:13" x14ac:dyDescent="0.25">
      <c r="A61" s="1">
        <v>20</v>
      </c>
      <c r="B61" s="47">
        <v>45955</v>
      </c>
      <c r="C61" s="66" t="s">
        <v>107</v>
      </c>
      <c r="D61" s="146">
        <v>63</v>
      </c>
      <c r="E61" s="39">
        <v>2.0084</v>
      </c>
      <c r="F61" s="39">
        <v>2.0505</v>
      </c>
      <c r="G61" s="5"/>
      <c r="H61" s="16">
        <f>F61-E61</f>
        <v>4.2100000000000026E-2</v>
      </c>
      <c r="I61" s="16"/>
      <c r="J61" s="16"/>
      <c r="K61" s="16">
        <f t="shared" si="5"/>
        <v>4.2100000000000026E-2</v>
      </c>
      <c r="M61" s="13" t="s">
        <v>69</v>
      </c>
    </row>
    <row r="62" spans="1:13" x14ac:dyDescent="0.25">
      <c r="A62" s="1">
        <v>21</v>
      </c>
      <c r="B62" s="33"/>
      <c r="C62" s="66">
        <v>43441274</v>
      </c>
      <c r="D62" s="146">
        <v>50.5</v>
      </c>
      <c r="E62" s="5">
        <v>34.732999999999997</v>
      </c>
      <c r="F62" s="5">
        <v>35.843000000000004</v>
      </c>
      <c r="G62" s="5"/>
      <c r="H62" s="16">
        <f t="shared" si="0"/>
        <v>0</v>
      </c>
      <c r="I62" s="16">
        <f>((D62*0.015)*12)/7</f>
        <v>1.2985714285714285</v>
      </c>
      <c r="J62" s="16">
        <f>D62/($E$11-$E$13)*$J$10</f>
        <v>-0.43541236289475915</v>
      </c>
      <c r="K62" s="16">
        <f t="shared" si="5"/>
        <v>0.86315906567666933</v>
      </c>
      <c r="M62" s="13" t="s">
        <v>71</v>
      </c>
    </row>
    <row r="63" spans="1:13" x14ac:dyDescent="0.25">
      <c r="A63" s="1">
        <v>22</v>
      </c>
      <c r="B63" s="48">
        <v>45734</v>
      </c>
      <c r="C63" s="66">
        <v>43441273</v>
      </c>
      <c r="D63" s="146">
        <v>52.4</v>
      </c>
      <c r="E63" s="5">
        <v>33.139000000000003</v>
      </c>
      <c r="F63" s="5">
        <v>33.716000000000001</v>
      </c>
      <c r="G63" s="5">
        <f>F63-E63</f>
        <v>0.57699999999999818</v>
      </c>
      <c r="H63" s="16">
        <f t="shared" si="0"/>
        <v>0.49610459999999845</v>
      </c>
      <c r="I63" s="16"/>
      <c r="J63" s="16"/>
      <c r="K63" s="16">
        <f t="shared" si="5"/>
        <v>0.49610459999999845</v>
      </c>
      <c r="M63" s="13" t="s">
        <v>69</v>
      </c>
    </row>
    <row r="64" spans="1:13" x14ac:dyDescent="0.25">
      <c r="A64" s="1">
        <v>23</v>
      </c>
      <c r="B64" s="47">
        <v>45774</v>
      </c>
      <c r="C64" s="66">
        <v>43441371</v>
      </c>
      <c r="D64" s="146">
        <v>53.1</v>
      </c>
      <c r="E64" s="5">
        <v>12.071</v>
      </c>
      <c r="F64" s="5">
        <v>12.071</v>
      </c>
      <c r="G64" s="5">
        <f>F64-E64</f>
        <v>0</v>
      </c>
      <c r="H64" s="16">
        <f t="shared" si="0"/>
        <v>0</v>
      </c>
      <c r="I64" s="16"/>
      <c r="J64" s="16"/>
      <c r="K64" s="16">
        <f t="shared" si="5"/>
        <v>0</v>
      </c>
      <c r="M64" s="13" t="s">
        <v>69</v>
      </c>
    </row>
    <row r="65" spans="1:13" x14ac:dyDescent="0.25">
      <c r="A65" s="1">
        <v>24</v>
      </c>
      <c r="B65" s="33"/>
      <c r="C65" s="66">
        <v>43441374</v>
      </c>
      <c r="D65" s="146">
        <v>100.7</v>
      </c>
      <c r="E65" s="5">
        <v>78.667000000000002</v>
      </c>
      <c r="F65" s="5">
        <v>79.381</v>
      </c>
      <c r="G65" s="5"/>
      <c r="H65" s="16">
        <f t="shared" si="0"/>
        <v>0</v>
      </c>
      <c r="I65" s="16">
        <f>((D65*0.015)*12)/7</f>
        <v>2.589428571428571</v>
      </c>
      <c r="J65" s="16">
        <f>D65/($E$11-$E$13)*$J$10</f>
        <v>-0.86823811769311388</v>
      </c>
      <c r="K65" s="16">
        <f t="shared" si="5"/>
        <v>1.7211904537354572</v>
      </c>
      <c r="M65" s="13" t="s">
        <v>71</v>
      </c>
    </row>
    <row r="66" spans="1:13" x14ac:dyDescent="0.25">
      <c r="A66" s="1">
        <v>25</v>
      </c>
      <c r="B66" s="33" t="s">
        <v>100</v>
      </c>
      <c r="C66" s="66">
        <v>43441275</v>
      </c>
      <c r="D66" s="146">
        <v>112.5</v>
      </c>
      <c r="E66" s="5">
        <v>61.908999999999999</v>
      </c>
      <c r="F66" s="5">
        <v>62.148000000000003</v>
      </c>
      <c r="G66" s="5">
        <f>F66-E66</f>
        <v>0.23900000000000432</v>
      </c>
      <c r="H66" s="16">
        <f t="shared" si="0"/>
        <v>0.20549220000000371</v>
      </c>
      <c r="I66" s="16"/>
      <c r="J66" s="16"/>
      <c r="K66" s="16">
        <f t="shared" si="5"/>
        <v>0.20549220000000371</v>
      </c>
      <c r="M66" s="13" t="s">
        <v>69</v>
      </c>
    </row>
    <row r="67" spans="1:13" x14ac:dyDescent="0.25">
      <c r="A67" s="1">
        <v>26</v>
      </c>
      <c r="B67" s="47">
        <v>45803</v>
      </c>
      <c r="C67" s="66">
        <v>43441269</v>
      </c>
      <c r="D67" s="146">
        <v>62.5</v>
      </c>
      <c r="E67" s="5">
        <v>15.273999999999999</v>
      </c>
      <c r="F67" s="5">
        <v>15.614000000000001</v>
      </c>
      <c r="G67" s="5">
        <f>F67-E67</f>
        <v>0.34000000000000163</v>
      </c>
      <c r="H67" s="16">
        <f t="shared" si="0"/>
        <v>0.29233200000000142</v>
      </c>
      <c r="I67" s="16"/>
      <c r="J67" s="16"/>
      <c r="K67" s="16">
        <f t="shared" si="5"/>
        <v>0.29233200000000142</v>
      </c>
      <c r="M67" s="13" t="s">
        <v>69</v>
      </c>
    </row>
    <row r="68" spans="1:13" x14ac:dyDescent="0.25">
      <c r="A68" s="1">
        <v>27</v>
      </c>
      <c r="B68" s="47">
        <v>45725</v>
      </c>
      <c r="C68" s="66">
        <v>43441270</v>
      </c>
      <c r="D68" s="146">
        <v>51.2</v>
      </c>
      <c r="E68" s="5">
        <v>1.2549999999999999</v>
      </c>
      <c r="F68" s="5">
        <v>1.262</v>
      </c>
      <c r="G68" s="28">
        <f>F68-E68</f>
        <v>7.0000000000001172E-3</v>
      </c>
      <c r="H68" s="16">
        <f>G68*0.8598</f>
        <v>6.0186000000001004E-3</v>
      </c>
      <c r="I68" s="16"/>
      <c r="J68" s="16"/>
      <c r="K68" s="16">
        <f t="shared" si="5"/>
        <v>6.0186000000001004E-3</v>
      </c>
      <c r="M68" s="13" t="s">
        <v>69</v>
      </c>
    </row>
    <row r="69" spans="1:13" x14ac:dyDescent="0.25">
      <c r="A69" s="1">
        <v>28</v>
      </c>
      <c r="B69" s="33"/>
      <c r="C69" s="66">
        <v>43441264</v>
      </c>
      <c r="D69" s="146">
        <v>52.5</v>
      </c>
      <c r="E69" s="5">
        <v>23.975999999999999</v>
      </c>
      <c r="F69" s="5">
        <v>24.629000000000001</v>
      </c>
      <c r="G69" s="5"/>
      <c r="H69" s="16">
        <f t="shared" si="0"/>
        <v>0</v>
      </c>
      <c r="I69" s="16">
        <f>((D69*0.015)*12)/7</f>
        <v>1.3499999999999999</v>
      </c>
      <c r="J69" s="16">
        <f>D69/($E$11-$E$13)*$J$10</f>
        <v>-0.45265641687078922</v>
      </c>
      <c r="K69" s="16">
        <f t="shared" si="5"/>
        <v>0.8973435831292107</v>
      </c>
      <c r="M69" s="13" t="s">
        <v>71</v>
      </c>
    </row>
    <row r="70" spans="1:13" x14ac:dyDescent="0.25">
      <c r="A70" s="1">
        <v>29</v>
      </c>
      <c r="B70" s="47">
        <v>45718</v>
      </c>
      <c r="C70" s="66">
        <v>43441272</v>
      </c>
      <c r="D70" s="146">
        <v>52.8</v>
      </c>
      <c r="E70" s="5">
        <v>23.321000000000002</v>
      </c>
      <c r="F70" s="5">
        <v>23.338999999999999</v>
      </c>
      <c r="G70" s="28">
        <f>F70-E70</f>
        <v>1.7999999999997129E-2</v>
      </c>
      <c r="H70" s="16">
        <f t="shared" si="0"/>
        <v>1.5476399999997533E-2</v>
      </c>
      <c r="I70" s="16"/>
      <c r="J70" s="16"/>
      <c r="K70" s="16">
        <f t="shared" si="5"/>
        <v>1.5476399999997533E-2</v>
      </c>
      <c r="M70" s="13" t="s">
        <v>69</v>
      </c>
    </row>
    <row r="71" spans="1:13" x14ac:dyDescent="0.25">
      <c r="A71" s="1">
        <v>30</v>
      </c>
      <c r="B71" s="48">
        <v>45734</v>
      </c>
      <c r="C71" s="66">
        <v>43441265</v>
      </c>
      <c r="D71" s="146">
        <v>101.4</v>
      </c>
      <c r="E71" s="5">
        <v>36.828000000000003</v>
      </c>
      <c r="F71" s="5">
        <v>36.843000000000004</v>
      </c>
      <c r="G71" s="28">
        <f>F71-E71</f>
        <v>1.5000000000000568E-2</v>
      </c>
      <c r="H71" s="16">
        <f t="shared" si="0"/>
        <v>1.289700000000049E-2</v>
      </c>
      <c r="I71" s="16"/>
      <c r="J71" s="16"/>
      <c r="K71" s="16">
        <f t="shared" si="5"/>
        <v>1.289700000000049E-2</v>
      </c>
      <c r="M71" s="13" t="s">
        <v>69</v>
      </c>
    </row>
    <row r="72" spans="1:13" x14ac:dyDescent="0.25">
      <c r="A72" s="1">
        <v>31</v>
      </c>
      <c r="B72" s="33"/>
      <c r="C72" s="66">
        <v>43441277</v>
      </c>
      <c r="D72" s="146">
        <v>112.5</v>
      </c>
      <c r="E72" s="5">
        <v>81.33</v>
      </c>
      <c r="F72" s="5">
        <v>82.775000000000006</v>
      </c>
      <c r="G72" s="5"/>
      <c r="H72" s="16">
        <f t="shared" si="0"/>
        <v>0</v>
      </c>
      <c r="I72" s="16">
        <f>((D72*0.015)*12)/7</f>
        <v>2.8928571428571428</v>
      </c>
      <c r="J72" s="16">
        <f>D72/($E$11-$E$13)*$J$10</f>
        <v>-0.9699780361516912</v>
      </c>
      <c r="K72" s="16">
        <f t="shared" si="5"/>
        <v>1.9228791067054516</v>
      </c>
      <c r="M72" s="13" t="s">
        <v>71</v>
      </c>
    </row>
    <row r="73" spans="1:13" x14ac:dyDescent="0.25">
      <c r="A73" s="1">
        <v>32</v>
      </c>
      <c r="B73" s="47">
        <v>45923</v>
      </c>
      <c r="C73" s="66">
        <v>43441276</v>
      </c>
      <c r="D73" s="146">
        <v>63.1</v>
      </c>
      <c r="E73" s="5">
        <v>51.365000000000002</v>
      </c>
      <c r="F73" s="5">
        <v>51.552</v>
      </c>
      <c r="G73" s="28">
        <f>F73-E73</f>
        <v>0.18699999999999761</v>
      </c>
      <c r="H73" s="16">
        <f t="shared" si="0"/>
        <v>0.16078259999999794</v>
      </c>
      <c r="I73" s="16"/>
      <c r="J73" s="16"/>
      <c r="K73" s="16">
        <f t="shared" si="5"/>
        <v>0.16078259999999794</v>
      </c>
      <c r="M73" s="13" t="s">
        <v>69</v>
      </c>
    </row>
    <row r="74" spans="1:13" x14ac:dyDescent="0.25">
      <c r="A74" s="1">
        <v>33</v>
      </c>
      <c r="B74" s="47">
        <v>45865</v>
      </c>
      <c r="C74" s="66">
        <v>43441279</v>
      </c>
      <c r="D74" s="146">
        <v>50.9</v>
      </c>
      <c r="E74" s="5">
        <v>48.884999999999998</v>
      </c>
      <c r="F74" s="5">
        <v>49.003</v>
      </c>
      <c r="G74" s="28">
        <f>F74-E74</f>
        <v>0.1180000000000021</v>
      </c>
      <c r="H74" s="16">
        <f t="shared" si="0"/>
        <v>0.10145640000000181</v>
      </c>
      <c r="I74" s="16"/>
      <c r="J74" s="16"/>
      <c r="K74" s="16">
        <f t="shared" si="5"/>
        <v>0.10145640000000181</v>
      </c>
      <c r="M74" s="13" t="s">
        <v>69</v>
      </c>
    </row>
    <row r="75" spans="1:13" x14ac:dyDescent="0.25">
      <c r="A75" s="1">
        <v>34</v>
      </c>
      <c r="B75" s="33"/>
      <c r="C75" s="66">
        <v>43441281</v>
      </c>
      <c r="D75" s="146">
        <v>52.2</v>
      </c>
      <c r="E75" s="5">
        <v>39.03</v>
      </c>
      <c r="F75" s="5">
        <v>39.481999999999999</v>
      </c>
      <c r="G75" s="5"/>
      <c r="H75" s="16">
        <f t="shared" si="0"/>
        <v>0</v>
      </c>
      <c r="I75" s="16">
        <f>((D75*0.015)*12)/7</f>
        <v>1.3422857142857143</v>
      </c>
      <c r="J75" s="16">
        <f t="shared" ref="J75:J77" si="6">D75/($E$11-$E$13)*$J$10</f>
        <v>-0.45006980877438479</v>
      </c>
      <c r="K75" s="16">
        <f t="shared" si="5"/>
        <v>0.89221590551132945</v>
      </c>
      <c r="M75" s="13" t="s">
        <v>71</v>
      </c>
    </row>
    <row r="76" spans="1:13" x14ac:dyDescent="0.25">
      <c r="A76" s="1">
        <v>35</v>
      </c>
      <c r="B76" s="33"/>
      <c r="C76" s="66">
        <v>43441282</v>
      </c>
      <c r="D76" s="146">
        <v>53</v>
      </c>
      <c r="E76" s="5">
        <v>41.347999999999999</v>
      </c>
      <c r="F76" s="5">
        <v>42.243000000000002</v>
      </c>
      <c r="G76" s="5"/>
      <c r="H76" s="16">
        <f t="shared" si="0"/>
        <v>0</v>
      </c>
      <c r="I76" s="16">
        <f>((D76*0.015)*12)/7</f>
        <v>1.3628571428571428</v>
      </c>
      <c r="J76" s="16">
        <f t="shared" si="6"/>
        <v>-0.45696743036479676</v>
      </c>
      <c r="K76" s="16">
        <f t="shared" si="5"/>
        <v>0.90588971249234596</v>
      </c>
      <c r="M76" s="13" t="s">
        <v>71</v>
      </c>
    </row>
    <row r="77" spans="1:13" x14ac:dyDescent="0.25">
      <c r="A77" s="1">
        <v>36</v>
      </c>
      <c r="B77" s="33"/>
      <c r="C77" s="66">
        <v>43441280</v>
      </c>
      <c r="D77" s="146">
        <v>103.1</v>
      </c>
      <c r="E77" s="5">
        <v>68.671000000000006</v>
      </c>
      <c r="F77" s="5">
        <v>70.209000000000003</v>
      </c>
      <c r="G77" s="5"/>
      <c r="H77" s="16">
        <f t="shared" si="0"/>
        <v>0</v>
      </c>
      <c r="I77" s="16">
        <f>((D77*0.015)*12)/7</f>
        <v>2.6511428571428568</v>
      </c>
      <c r="J77" s="16">
        <f t="shared" si="6"/>
        <v>-0.88893098246434987</v>
      </c>
      <c r="K77" s="16">
        <f t="shared" si="5"/>
        <v>1.7622118746785069</v>
      </c>
      <c r="M77" s="13" t="s">
        <v>71</v>
      </c>
    </row>
    <row r="78" spans="1:13" x14ac:dyDescent="0.25">
      <c r="A78" s="1">
        <v>37</v>
      </c>
      <c r="B78" s="47">
        <v>46651</v>
      </c>
      <c r="C78" s="10" t="s">
        <v>101</v>
      </c>
      <c r="D78" s="146">
        <v>112.4</v>
      </c>
      <c r="E78" s="5">
        <v>8.7899999999999991</v>
      </c>
      <c r="F78" s="5">
        <v>10.518000000000001</v>
      </c>
      <c r="G78" s="5"/>
      <c r="H78" s="16">
        <f>F78-E78</f>
        <v>1.7280000000000015</v>
      </c>
      <c r="I78" s="16"/>
      <c r="J78" s="16"/>
      <c r="K78" s="16">
        <f t="shared" si="5"/>
        <v>1.7280000000000015</v>
      </c>
      <c r="M78" s="13" t="s">
        <v>69</v>
      </c>
    </row>
    <row r="79" spans="1:13" x14ac:dyDescent="0.25">
      <c r="A79" s="1">
        <v>38</v>
      </c>
      <c r="B79" s="47">
        <v>45946</v>
      </c>
      <c r="C79" s="66">
        <v>43441344</v>
      </c>
      <c r="D79" s="146">
        <v>62.8</v>
      </c>
      <c r="E79" s="5">
        <v>33.173000000000002</v>
      </c>
      <c r="F79" s="5">
        <v>33.78</v>
      </c>
      <c r="G79" s="5">
        <f>F79-E79</f>
        <v>0.60699999999999932</v>
      </c>
      <c r="H79" s="16">
        <f t="shared" si="0"/>
        <v>0.52189859999999944</v>
      </c>
      <c r="I79" s="16"/>
      <c r="J79" s="16"/>
      <c r="K79" s="16">
        <f t="shared" si="5"/>
        <v>0.52189859999999944</v>
      </c>
      <c r="M79" s="13" t="s">
        <v>69</v>
      </c>
    </row>
    <row r="80" spans="1:13" x14ac:dyDescent="0.25">
      <c r="A80" s="1">
        <v>39</v>
      </c>
      <c r="B80" s="33"/>
      <c r="C80" s="66">
        <v>43441341</v>
      </c>
      <c r="D80" s="146">
        <v>50.5</v>
      </c>
      <c r="E80" s="5">
        <v>10.38</v>
      </c>
      <c r="F80" s="5">
        <v>11.178000000000001</v>
      </c>
      <c r="G80" s="5"/>
      <c r="H80" s="16">
        <f t="shared" si="0"/>
        <v>0</v>
      </c>
      <c r="I80" s="16">
        <f>((D80*0.015)*12)/7</f>
        <v>1.2985714285714285</v>
      </c>
      <c r="J80" s="16">
        <f>D80/($E$11-$E$13)*$J$10</f>
        <v>-0.43541236289475915</v>
      </c>
      <c r="K80" s="16">
        <f t="shared" si="5"/>
        <v>0.86315906567666933</v>
      </c>
      <c r="M80" s="13" t="s">
        <v>71</v>
      </c>
    </row>
    <row r="81" spans="1:14" x14ac:dyDescent="0.25">
      <c r="A81" s="1">
        <v>40</v>
      </c>
      <c r="B81" s="47">
        <v>45594</v>
      </c>
      <c r="C81" s="10" t="s">
        <v>72</v>
      </c>
      <c r="D81" s="146">
        <v>52.3</v>
      </c>
      <c r="E81" s="39">
        <v>1.8004</v>
      </c>
      <c r="F81" s="39">
        <v>1.8176000000000001</v>
      </c>
      <c r="G81" s="39"/>
      <c r="H81" s="16">
        <f>F81-E81</f>
        <v>1.7200000000000104E-2</v>
      </c>
      <c r="I81" s="16"/>
      <c r="J81" s="16"/>
      <c r="K81" s="16">
        <f t="shared" si="5"/>
        <v>1.7200000000000104E-2</v>
      </c>
      <c r="M81" s="13" t="s">
        <v>69</v>
      </c>
    </row>
    <row r="82" spans="1:14" x14ac:dyDescent="0.25">
      <c r="A82" s="1">
        <v>41</v>
      </c>
      <c r="B82" s="47">
        <v>45573</v>
      </c>
      <c r="C82" s="66">
        <v>43441283</v>
      </c>
      <c r="D82" s="146">
        <v>53</v>
      </c>
      <c r="E82" s="5">
        <v>15.311999999999999</v>
      </c>
      <c r="F82" s="5">
        <v>15.311999999999999</v>
      </c>
      <c r="G82" s="5">
        <f>F82-E82</f>
        <v>0</v>
      </c>
      <c r="H82" s="16">
        <f t="shared" si="0"/>
        <v>0</v>
      </c>
      <c r="I82" s="16"/>
      <c r="J82" s="16"/>
      <c r="K82" s="16">
        <f t="shared" si="5"/>
        <v>0</v>
      </c>
      <c r="M82" s="13" t="s">
        <v>69</v>
      </c>
    </row>
    <row r="83" spans="1:14" x14ac:dyDescent="0.25">
      <c r="A83" s="1">
        <v>42</v>
      </c>
      <c r="B83" s="47">
        <v>45459</v>
      </c>
      <c r="C83" s="10" t="s">
        <v>57</v>
      </c>
      <c r="D83" s="146">
        <v>100.1</v>
      </c>
      <c r="E83" s="39">
        <v>13.236000000000001</v>
      </c>
      <c r="F83" s="39">
        <v>13.236000000000001</v>
      </c>
      <c r="G83" s="39"/>
      <c r="H83" s="16">
        <f>F83-E83</f>
        <v>0</v>
      </c>
      <c r="I83" s="16"/>
      <c r="J83" s="16"/>
      <c r="K83" s="16">
        <f t="shared" si="5"/>
        <v>0</v>
      </c>
      <c r="M83" s="13" t="s">
        <v>69</v>
      </c>
    </row>
    <row r="84" spans="1:14" x14ac:dyDescent="0.25">
      <c r="A84" s="1">
        <v>43</v>
      </c>
      <c r="B84" s="48">
        <v>45866</v>
      </c>
      <c r="C84" s="66">
        <v>43441342</v>
      </c>
      <c r="D84" s="146">
        <v>69.3</v>
      </c>
      <c r="E84" s="5">
        <v>8.3390000000000004</v>
      </c>
      <c r="F84" s="5">
        <v>8.3390000000000004</v>
      </c>
      <c r="G84" s="5">
        <f>F84-E84</f>
        <v>0</v>
      </c>
      <c r="H84" s="16">
        <f t="shared" si="0"/>
        <v>0</v>
      </c>
      <c r="I84" s="16"/>
      <c r="J84" s="16"/>
      <c r="K84" s="16">
        <f t="shared" si="5"/>
        <v>0</v>
      </c>
      <c r="M84" s="13" t="s">
        <v>69</v>
      </c>
    </row>
    <row r="85" spans="1:14" x14ac:dyDescent="0.25">
      <c r="A85" s="1">
        <v>44</v>
      </c>
      <c r="B85" s="47">
        <v>45747</v>
      </c>
      <c r="C85" s="66">
        <v>43441345</v>
      </c>
      <c r="D85" s="146">
        <v>53.3</v>
      </c>
      <c r="E85" s="5">
        <v>18.646000000000001</v>
      </c>
      <c r="F85" s="5">
        <v>18.646000000000001</v>
      </c>
      <c r="G85" s="5">
        <f>F85-E85</f>
        <v>0</v>
      </c>
      <c r="H85" s="16">
        <f t="shared" si="0"/>
        <v>0</v>
      </c>
      <c r="I85" s="16"/>
      <c r="J85" s="16"/>
      <c r="K85" s="16">
        <f t="shared" si="5"/>
        <v>0</v>
      </c>
      <c r="M85" s="13" t="s">
        <v>69</v>
      </c>
    </row>
    <row r="86" spans="1:14" x14ac:dyDescent="0.25">
      <c r="A86" s="1">
        <v>45</v>
      </c>
      <c r="B86" s="33"/>
      <c r="C86" s="66">
        <v>43441348</v>
      </c>
      <c r="D86" s="146">
        <v>52.9</v>
      </c>
      <c r="E86" s="5">
        <v>58.539000000000001</v>
      </c>
      <c r="F86" s="5">
        <v>59.764000000000003</v>
      </c>
      <c r="G86" s="5"/>
      <c r="H86" s="16">
        <f t="shared" si="0"/>
        <v>0</v>
      </c>
      <c r="I86" s="16">
        <f>((D86*0.015)*12)/7</f>
        <v>1.3602857142857143</v>
      </c>
      <c r="J86" s="16">
        <f>D86/($E$11-$E$13)*$J$10</f>
        <v>-0.45610522766599526</v>
      </c>
      <c r="K86" s="16">
        <f t="shared" si="5"/>
        <v>0.90418048661971906</v>
      </c>
      <c r="M86" s="13" t="s">
        <v>71</v>
      </c>
    </row>
    <row r="87" spans="1:14" x14ac:dyDescent="0.25">
      <c r="A87" s="1">
        <v>46</v>
      </c>
      <c r="B87" s="52">
        <v>45866</v>
      </c>
      <c r="C87" s="66">
        <v>43441349</v>
      </c>
      <c r="D87" s="146">
        <v>100.9</v>
      </c>
      <c r="E87" s="5">
        <v>25.091999999999999</v>
      </c>
      <c r="F87" s="5">
        <v>25.093</v>
      </c>
      <c r="G87" s="5">
        <f>F87-E87</f>
        <v>1.0000000000012221E-3</v>
      </c>
      <c r="H87" s="16">
        <f t="shared" si="0"/>
        <v>8.5980000000105078E-4</v>
      </c>
      <c r="I87" s="16"/>
      <c r="J87" s="16"/>
      <c r="K87" s="16">
        <f t="shared" si="5"/>
        <v>8.5980000000105078E-4</v>
      </c>
      <c r="M87" s="13" t="s">
        <v>69</v>
      </c>
    </row>
    <row r="88" spans="1:14" x14ac:dyDescent="0.25">
      <c r="A88" s="1">
        <v>47</v>
      </c>
      <c r="B88" s="47">
        <v>45459</v>
      </c>
      <c r="C88" s="66" t="s">
        <v>108</v>
      </c>
      <c r="D88" s="146">
        <v>85.4</v>
      </c>
      <c r="E88" s="39">
        <v>2.1806999999999999</v>
      </c>
      <c r="F88" s="39">
        <v>3.3184999999999998</v>
      </c>
      <c r="G88" s="5"/>
      <c r="H88" s="16">
        <f>F88-E88</f>
        <v>1.1377999999999999</v>
      </c>
      <c r="I88" s="16"/>
      <c r="J88" s="16"/>
      <c r="K88" s="16">
        <f t="shared" si="5"/>
        <v>1.1377999999999999</v>
      </c>
      <c r="M88" s="13" t="s">
        <v>69</v>
      </c>
      <c r="N88" s="12"/>
    </row>
    <row r="89" spans="1:14" x14ac:dyDescent="0.25">
      <c r="A89" s="1">
        <v>48</v>
      </c>
      <c r="B89" s="48">
        <v>45769</v>
      </c>
      <c r="C89" s="66">
        <v>43441356</v>
      </c>
      <c r="D89" s="146">
        <v>53.2</v>
      </c>
      <c r="E89" s="5">
        <v>45.246000000000002</v>
      </c>
      <c r="F89" s="5">
        <v>46.093000000000004</v>
      </c>
      <c r="G89" s="5">
        <f>F89-E89</f>
        <v>0.84700000000000131</v>
      </c>
      <c r="H89" s="16">
        <f>G89*0.8598</f>
        <v>0.72825060000000108</v>
      </c>
      <c r="I89" s="16"/>
      <c r="J89" s="16"/>
      <c r="K89" s="16">
        <f t="shared" si="5"/>
        <v>0.72825060000000108</v>
      </c>
      <c r="M89" s="13" t="s">
        <v>69</v>
      </c>
    </row>
    <row r="90" spans="1:14" x14ac:dyDescent="0.25">
      <c r="A90" s="1">
        <v>49</v>
      </c>
      <c r="B90" s="47">
        <v>45607</v>
      </c>
      <c r="C90" s="66">
        <v>43441343</v>
      </c>
      <c r="D90" s="146">
        <v>53.3</v>
      </c>
      <c r="E90" s="5">
        <v>17.975999999999999</v>
      </c>
      <c r="F90" s="5">
        <v>18.045000000000002</v>
      </c>
      <c r="G90" s="5">
        <f>F90-E90</f>
        <v>6.9000000000002615E-2</v>
      </c>
      <c r="H90" s="16">
        <f t="shared" si="0"/>
        <v>5.9326200000002251E-2</v>
      </c>
      <c r="I90" s="16"/>
      <c r="J90" s="16"/>
      <c r="K90" s="16">
        <f t="shared" si="5"/>
        <v>5.9326200000002251E-2</v>
      </c>
      <c r="L90" s="24"/>
      <c r="M90" s="13" t="s">
        <v>69</v>
      </c>
    </row>
    <row r="91" spans="1:14" x14ac:dyDescent="0.25">
      <c r="A91" s="1">
        <v>50</v>
      </c>
      <c r="B91" s="52">
        <v>45846</v>
      </c>
      <c r="C91" s="66">
        <v>43441352</v>
      </c>
      <c r="D91" s="146">
        <v>99.5</v>
      </c>
      <c r="E91" s="5">
        <v>77.572000000000003</v>
      </c>
      <c r="F91" s="5">
        <v>83.548000000000002</v>
      </c>
      <c r="G91" s="5">
        <f>F91-E91</f>
        <v>5.9759999999999991</v>
      </c>
      <c r="H91" s="16">
        <f>G91*0.8598</f>
        <v>5.1381647999999993</v>
      </c>
      <c r="I91" s="16"/>
      <c r="J91" s="16"/>
      <c r="K91" s="16">
        <f t="shared" si="5"/>
        <v>5.1381647999999993</v>
      </c>
      <c r="L91" s="24"/>
      <c r="M91" s="13" t="s">
        <v>69</v>
      </c>
    </row>
    <row r="92" spans="1:14" x14ac:dyDescent="0.25">
      <c r="A92" s="1">
        <v>51</v>
      </c>
      <c r="B92" s="38"/>
      <c r="C92" s="66">
        <v>43441357</v>
      </c>
      <c r="D92" s="146">
        <v>84.8</v>
      </c>
      <c r="E92" s="5">
        <v>90.488</v>
      </c>
      <c r="F92" s="5">
        <v>90.488</v>
      </c>
      <c r="G92" s="5"/>
      <c r="H92" s="16">
        <f t="shared" si="0"/>
        <v>0</v>
      </c>
      <c r="I92" s="16">
        <f>((D92*0.015)*12)/7</f>
        <v>2.1805714285714286</v>
      </c>
      <c r="J92" s="16">
        <f t="shared" ref="J92:J93" si="7">D92/($E$11-$E$13)*$J$10</f>
        <v>-0.73114788858367474</v>
      </c>
      <c r="K92" s="16">
        <f t="shared" si="5"/>
        <v>1.449423539987754</v>
      </c>
      <c r="L92" s="24"/>
      <c r="M92" s="13" t="s">
        <v>71</v>
      </c>
    </row>
    <row r="93" spans="1:14" x14ac:dyDescent="0.25">
      <c r="A93" s="1">
        <v>52</v>
      </c>
      <c r="B93" s="38"/>
      <c r="C93" s="66">
        <v>43441355</v>
      </c>
      <c r="D93" s="146">
        <v>52.9</v>
      </c>
      <c r="E93" s="5">
        <v>47.430999999999997</v>
      </c>
      <c r="F93" s="5">
        <v>48.421999999999997</v>
      </c>
      <c r="G93" s="5"/>
      <c r="H93" s="16">
        <f>G93*0.8598</f>
        <v>0</v>
      </c>
      <c r="I93" s="16">
        <f>((D93*0.015)*12)/7</f>
        <v>1.3602857142857143</v>
      </c>
      <c r="J93" s="16">
        <f t="shared" si="7"/>
        <v>-0.45610522766599526</v>
      </c>
      <c r="K93" s="16">
        <f t="shared" si="5"/>
        <v>0.90418048661971906</v>
      </c>
      <c r="L93" s="24"/>
      <c r="M93" s="13" t="s">
        <v>71</v>
      </c>
    </row>
    <row r="94" spans="1:14" x14ac:dyDescent="0.25">
      <c r="A94" s="1">
        <v>53</v>
      </c>
      <c r="B94" s="48">
        <v>45635</v>
      </c>
      <c r="C94" s="66">
        <v>43441358</v>
      </c>
      <c r="D94" s="146">
        <v>52.8</v>
      </c>
      <c r="E94" s="5">
        <v>18.544</v>
      </c>
      <c r="F94" s="5">
        <v>18.556999999999999</v>
      </c>
      <c r="G94" s="5">
        <f>F94-E94</f>
        <v>1.2999999999998124E-2</v>
      </c>
      <c r="H94" s="16">
        <f t="shared" si="0"/>
        <v>1.1177399999998387E-2</v>
      </c>
      <c r="I94" s="16"/>
      <c r="J94" s="16"/>
      <c r="K94" s="16">
        <f t="shared" si="5"/>
        <v>1.1177399999998387E-2</v>
      </c>
      <c r="L94" s="24"/>
      <c r="M94" s="13" t="s">
        <v>69</v>
      </c>
    </row>
    <row r="95" spans="1:14" x14ac:dyDescent="0.25">
      <c r="A95" s="1">
        <v>54</v>
      </c>
      <c r="B95" s="47">
        <v>45725</v>
      </c>
      <c r="C95" s="10" t="s">
        <v>102</v>
      </c>
      <c r="D95" s="89">
        <v>101</v>
      </c>
      <c r="E95" s="39">
        <v>4.3102</v>
      </c>
      <c r="F95" s="39">
        <v>4.4757999999999996</v>
      </c>
      <c r="G95" s="5"/>
      <c r="H95" s="16">
        <f>F95-E95</f>
        <v>0.16559999999999953</v>
      </c>
      <c r="I95" s="16"/>
      <c r="J95" s="16"/>
      <c r="K95" s="16">
        <f t="shared" si="5"/>
        <v>0.16559999999999953</v>
      </c>
      <c r="L95" s="24"/>
      <c r="M95" s="13" t="s">
        <v>69</v>
      </c>
    </row>
    <row r="96" spans="1:14" x14ac:dyDescent="0.25">
      <c r="A96" s="1">
        <v>55</v>
      </c>
      <c r="B96" s="33"/>
      <c r="C96" s="66">
        <v>43441053</v>
      </c>
      <c r="D96" s="146">
        <v>85.2</v>
      </c>
      <c r="E96" s="5">
        <v>45.667999999999999</v>
      </c>
      <c r="F96" s="5">
        <v>45.667999999999999</v>
      </c>
      <c r="G96" s="5"/>
      <c r="H96" s="16">
        <f t="shared" si="0"/>
        <v>0</v>
      </c>
      <c r="I96" s="16">
        <f>((D96*0.015)*12)/7</f>
        <v>2.1908571428571428</v>
      </c>
      <c r="J96" s="16">
        <f>D96/($E$11-$E$13)*$J$10</f>
        <v>-0.73459669937888084</v>
      </c>
      <c r="K96" s="16">
        <f>H96+I96+J96</f>
        <v>1.456260443478262</v>
      </c>
      <c r="L96" s="24"/>
      <c r="M96" s="13" t="s">
        <v>71</v>
      </c>
    </row>
    <row r="97" spans="1:13" x14ac:dyDescent="0.25">
      <c r="A97" s="1">
        <v>56</v>
      </c>
      <c r="B97" s="47">
        <v>46042</v>
      </c>
      <c r="C97" s="66">
        <v>43441050</v>
      </c>
      <c r="D97" s="146">
        <v>52.5</v>
      </c>
      <c r="E97" s="5">
        <v>30.966000000000001</v>
      </c>
      <c r="F97" s="5">
        <v>30.966000000000001</v>
      </c>
      <c r="G97" s="5">
        <f>F97-E97</f>
        <v>0</v>
      </c>
      <c r="H97" s="16">
        <f t="shared" si="0"/>
        <v>0</v>
      </c>
      <c r="I97" s="16"/>
      <c r="J97" s="16"/>
      <c r="K97" s="16">
        <f t="shared" si="5"/>
        <v>0</v>
      </c>
      <c r="L97" s="24"/>
      <c r="M97" s="13" t="s">
        <v>69</v>
      </c>
    </row>
    <row r="98" spans="1:13" x14ac:dyDescent="0.25">
      <c r="A98" s="1">
        <v>57</v>
      </c>
      <c r="B98" s="33"/>
      <c r="C98" s="66">
        <v>43441051</v>
      </c>
      <c r="D98" s="146">
        <v>52.4</v>
      </c>
      <c r="E98" s="5">
        <v>38.302</v>
      </c>
      <c r="F98" s="5">
        <v>38.887</v>
      </c>
      <c r="G98" s="5"/>
      <c r="H98" s="16">
        <f t="shared" si="0"/>
        <v>0</v>
      </c>
      <c r="I98" s="16">
        <f>((D98*0.015)*12)/7</f>
        <v>1.3474285714285712</v>
      </c>
      <c r="J98" s="16">
        <f t="shared" ref="J98:J99" si="8">D98/($E$11-$E$13)*$J$10</f>
        <v>-0.45179421417198773</v>
      </c>
      <c r="K98" s="16">
        <f t="shared" si="5"/>
        <v>0.89563435725658347</v>
      </c>
      <c r="L98" s="24"/>
      <c r="M98" s="13" t="s">
        <v>71</v>
      </c>
    </row>
    <row r="99" spans="1:13" x14ac:dyDescent="0.25">
      <c r="A99" s="1">
        <v>58</v>
      </c>
      <c r="B99" s="33"/>
      <c r="C99" s="66">
        <v>43441052</v>
      </c>
      <c r="D99" s="146">
        <v>101.3</v>
      </c>
      <c r="E99" s="5">
        <v>53.026000000000003</v>
      </c>
      <c r="F99" s="5">
        <v>53.636000000000003</v>
      </c>
      <c r="G99" s="5"/>
      <c r="H99" s="16">
        <f t="shared" si="0"/>
        <v>0</v>
      </c>
      <c r="I99" s="16">
        <f>((D99*0.015)*12)/7</f>
        <v>2.6048571428571425</v>
      </c>
      <c r="J99" s="16">
        <f t="shared" si="8"/>
        <v>-0.87341133388592285</v>
      </c>
      <c r="K99" s="16">
        <f t="shared" si="5"/>
        <v>1.7314458089712197</v>
      </c>
      <c r="L99" s="24"/>
      <c r="M99" s="13" t="s">
        <v>71</v>
      </c>
    </row>
    <row r="100" spans="1:13" x14ac:dyDescent="0.25">
      <c r="A100" s="1">
        <v>59</v>
      </c>
      <c r="B100" s="47">
        <v>45754</v>
      </c>
      <c r="C100" s="66">
        <v>43441057</v>
      </c>
      <c r="D100" s="146">
        <v>85.3</v>
      </c>
      <c r="E100" s="5">
        <v>25.145</v>
      </c>
      <c r="F100" s="5">
        <v>25.145</v>
      </c>
      <c r="G100" s="5">
        <f>F100-E100</f>
        <v>0</v>
      </c>
      <c r="H100" s="16">
        <f t="shared" si="0"/>
        <v>0</v>
      </c>
      <c r="I100" s="16"/>
      <c r="J100" s="16"/>
      <c r="K100" s="16">
        <f>H100+I100+J100</f>
        <v>0</v>
      </c>
      <c r="L100" s="24"/>
      <c r="M100" s="13" t="s">
        <v>69</v>
      </c>
    </row>
    <row r="101" spans="1:13" x14ac:dyDescent="0.25">
      <c r="A101" s="1">
        <v>60</v>
      </c>
      <c r="B101" s="47">
        <v>45703</v>
      </c>
      <c r="C101" s="66">
        <v>43441058</v>
      </c>
      <c r="D101" s="146">
        <v>52.5</v>
      </c>
      <c r="E101" s="5">
        <v>10.763</v>
      </c>
      <c r="F101" s="5">
        <v>11.071999999999999</v>
      </c>
      <c r="G101" s="5">
        <f>F101-E101</f>
        <v>0.30899999999999928</v>
      </c>
      <c r="H101" s="16">
        <f>G101*0.8598</f>
        <v>0.26567819999999936</v>
      </c>
      <c r="I101" s="16"/>
      <c r="J101" s="16"/>
      <c r="K101" s="16">
        <f t="shared" si="5"/>
        <v>0.26567819999999936</v>
      </c>
      <c r="M101" s="13" t="s">
        <v>69</v>
      </c>
    </row>
    <row r="102" spans="1:13" x14ac:dyDescent="0.25">
      <c r="A102" s="1">
        <v>61</v>
      </c>
      <c r="B102" s="48">
        <v>45517</v>
      </c>
      <c r="C102" s="66">
        <v>43441054</v>
      </c>
      <c r="D102" s="146">
        <v>52.3</v>
      </c>
      <c r="E102" s="5">
        <v>19.727</v>
      </c>
      <c r="F102" s="5">
        <v>20.097999999999999</v>
      </c>
      <c r="G102" s="5">
        <f>F102-E102</f>
        <v>0.37099999999999866</v>
      </c>
      <c r="H102" s="16">
        <f t="shared" si="0"/>
        <v>0.31898579999999888</v>
      </c>
      <c r="I102" s="16"/>
      <c r="J102" s="16"/>
      <c r="K102" s="16">
        <f t="shared" si="5"/>
        <v>0.31898579999999888</v>
      </c>
      <c r="M102" s="13" t="s">
        <v>69</v>
      </c>
    </row>
    <row r="103" spans="1:13" x14ac:dyDescent="0.25">
      <c r="A103" s="1">
        <v>62</v>
      </c>
      <c r="B103" s="47">
        <v>45907</v>
      </c>
      <c r="C103" s="66">
        <v>43441056</v>
      </c>
      <c r="D103" s="146">
        <v>100.5</v>
      </c>
      <c r="E103" s="5">
        <v>38.11</v>
      </c>
      <c r="F103" s="5">
        <v>38.603999999999999</v>
      </c>
      <c r="G103" s="5">
        <f>F103-E103</f>
        <v>0.49399999999999977</v>
      </c>
      <c r="H103" s="16">
        <f t="shared" si="0"/>
        <v>0.42474119999999982</v>
      </c>
      <c r="I103" s="16"/>
      <c r="J103" s="16"/>
      <c r="K103" s="16">
        <f t="shared" si="5"/>
        <v>0.42474119999999982</v>
      </c>
      <c r="M103" s="13" t="s">
        <v>69</v>
      </c>
    </row>
    <row r="104" spans="1:13" x14ac:dyDescent="0.25">
      <c r="A104" s="1">
        <v>63</v>
      </c>
      <c r="B104" s="47">
        <v>45920</v>
      </c>
      <c r="C104" s="66">
        <v>43441064</v>
      </c>
      <c r="D104" s="146">
        <v>85.2</v>
      </c>
      <c r="E104" s="5">
        <v>29.654</v>
      </c>
      <c r="F104" s="5">
        <v>29.654</v>
      </c>
      <c r="G104" s="5">
        <f>F104-E104</f>
        <v>0</v>
      </c>
      <c r="H104" s="16">
        <f t="shared" si="0"/>
        <v>0</v>
      </c>
      <c r="I104" s="16"/>
      <c r="J104" s="16"/>
      <c r="K104" s="16">
        <f t="shared" si="5"/>
        <v>0</v>
      </c>
      <c r="M104" s="13" t="s">
        <v>69</v>
      </c>
    </row>
    <row r="105" spans="1:13" x14ac:dyDescent="0.25">
      <c r="A105" s="1">
        <v>64</v>
      </c>
      <c r="B105" s="33"/>
      <c r="C105" s="66">
        <v>43441061</v>
      </c>
      <c r="D105" s="146">
        <v>52.7</v>
      </c>
      <c r="E105" s="5">
        <v>24.975999999999999</v>
      </c>
      <c r="F105" s="5">
        <v>25.341000000000001</v>
      </c>
      <c r="G105" s="5"/>
      <c r="H105" s="16">
        <f t="shared" si="0"/>
        <v>0</v>
      </c>
      <c r="I105" s="16">
        <f>((D105*0.015)*12)/7</f>
        <v>1.3551428571428572</v>
      </c>
      <c r="J105" s="16">
        <f t="shared" ref="J105:J106" si="9">D105/($E$11-$E$13)*$J$10</f>
        <v>-0.45438082226839227</v>
      </c>
      <c r="K105" s="16">
        <f t="shared" si="5"/>
        <v>0.90076203487446493</v>
      </c>
      <c r="M105" s="13" t="s">
        <v>71</v>
      </c>
    </row>
    <row r="106" spans="1:13" x14ac:dyDescent="0.25">
      <c r="A106" s="1">
        <v>65</v>
      </c>
      <c r="B106" s="33"/>
      <c r="C106" s="66">
        <v>43441055</v>
      </c>
      <c r="D106" s="146">
        <v>53.1</v>
      </c>
      <c r="E106" s="5">
        <v>17.568000000000001</v>
      </c>
      <c r="F106" s="5">
        <v>17.591999999999999</v>
      </c>
      <c r="G106" s="5"/>
      <c r="H106" s="16">
        <f t="shared" si="0"/>
        <v>0</v>
      </c>
      <c r="I106" s="16">
        <f>((D106*0.015)*12)/7</f>
        <v>1.3654285714285714</v>
      </c>
      <c r="J106" s="16">
        <f t="shared" si="9"/>
        <v>-0.45782963306359825</v>
      </c>
      <c r="K106" s="16">
        <f t="shared" si="5"/>
        <v>0.90759893836497318</v>
      </c>
      <c r="M106" s="13" t="s">
        <v>71</v>
      </c>
    </row>
    <row r="107" spans="1:13" x14ac:dyDescent="0.25">
      <c r="A107" s="1">
        <v>66</v>
      </c>
      <c r="B107" s="47">
        <v>45580</v>
      </c>
      <c r="C107" s="66">
        <v>43441063</v>
      </c>
      <c r="D107" s="146">
        <v>101.1</v>
      </c>
      <c r="E107" s="5">
        <v>7.6859999999999999</v>
      </c>
      <c r="F107" s="5">
        <v>7.6879999999999997</v>
      </c>
      <c r="G107" s="5">
        <f>F107-E107</f>
        <v>1.9999999999997797E-3</v>
      </c>
      <c r="H107" s="16">
        <f t="shared" ref="H107:H122" si="10">G107*0.8598</f>
        <v>1.7195999999998106E-3</v>
      </c>
      <c r="I107" s="16"/>
      <c r="J107" s="16"/>
      <c r="K107" s="16">
        <f t="shared" si="5"/>
        <v>1.7195999999998106E-3</v>
      </c>
      <c r="M107" s="13" t="s">
        <v>69</v>
      </c>
    </row>
    <row r="108" spans="1:13" x14ac:dyDescent="0.25">
      <c r="A108" s="1">
        <v>67</v>
      </c>
      <c r="B108" s="47">
        <v>45870</v>
      </c>
      <c r="C108" s="66">
        <v>43441067</v>
      </c>
      <c r="D108" s="146">
        <v>84.7</v>
      </c>
      <c r="E108" s="5">
        <f>16.49+1.2705+1.2705</f>
        <v>19.030999999999995</v>
      </c>
      <c r="F108" s="5">
        <f>16.49+1.2705+1.2705</f>
        <v>19.030999999999995</v>
      </c>
      <c r="G108" s="5">
        <f>F108-E108</f>
        <v>0</v>
      </c>
      <c r="H108" s="16">
        <f t="shared" si="10"/>
        <v>0</v>
      </c>
      <c r="I108" s="16"/>
      <c r="J108" s="16"/>
      <c r="K108" s="16">
        <f t="shared" si="5"/>
        <v>0</v>
      </c>
      <c r="M108" s="13" t="s">
        <v>69</v>
      </c>
    </row>
    <row r="109" spans="1:13" x14ac:dyDescent="0.25">
      <c r="A109" s="1">
        <v>68</v>
      </c>
      <c r="B109" s="47">
        <v>45790</v>
      </c>
      <c r="C109" s="66">
        <v>43441065</v>
      </c>
      <c r="D109" s="146">
        <v>52.7</v>
      </c>
      <c r="E109" s="5">
        <v>27.725999999999999</v>
      </c>
      <c r="F109" s="5">
        <v>27.768000000000001</v>
      </c>
      <c r="G109" s="5">
        <f>F109-E109</f>
        <v>4.2000000000001592E-2</v>
      </c>
      <c r="H109" s="16">
        <f>G109*0.8598</f>
        <v>3.6111600000001368E-2</v>
      </c>
      <c r="I109" s="16"/>
      <c r="J109" s="16"/>
      <c r="K109" s="16">
        <f t="shared" si="5"/>
        <v>3.6111600000001368E-2</v>
      </c>
      <c r="M109" s="13" t="s">
        <v>69</v>
      </c>
    </row>
    <row r="110" spans="1:13" x14ac:dyDescent="0.25">
      <c r="A110" s="1">
        <v>69</v>
      </c>
      <c r="B110" s="47">
        <v>45768</v>
      </c>
      <c r="C110" s="66">
        <v>43441060</v>
      </c>
      <c r="D110" s="146">
        <v>53.3</v>
      </c>
      <c r="E110" s="5">
        <v>24.498999999999999</v>
      </c>
      <c r="F110" s="5">
        <v>24.754999999999999</v>
      </c>
      <c r="G110" s="5">
        <f>F110-E110</f>
        <v>0.25600000000000023</v>
      </c>
      <c r="H110" s="16">
        <f t="shared" si="10"/>
        <v>0.22010880000000019</v>
      </c>
      <c r="I110" s="16"/>
      <c r="J110" s="16"/>
      <c r="K110" s="16">
        <f t="shared" si="5"/>
        <v>0.22010880000000019</v>
      </c>
      <c r="M110" s="13" t="s">
        <v>69</v>
      </c>
    </row>
    <row r="111" spans="1:13" x14ac:dyDescent="0.25">
      <c r="A111" s="1">
        <v>70</v>
      </c>
      <c r="B111" s="47">
        <v>46117</v>
      </c>
      <c r="C111" s="66">
        <v>43441066</v>
      </c>
      <c r="D111" s="146">
        <v>101.3</v>
      </c>
      <c r="E111" s="5">
        <v>60.46</v>
      </c>
      <c r="F111" s="5">
        <v>60.502000000000002</v>
      </c>
      <c r="G111" s="5">
        <f>F111-E111</f>
        <v>4.2000000000001592E-2</v>
      </c>
      <c r="H111" s="16">
        <f t="shared" si="10"/>
        <v>3.6111600000001368E-2</v>
      </c>
      <c r="I111" s="16"/>
      <c r="J111" s="16"/>
      <c r="K111" s="16">
        <f t="shared" si="5"/>
        <v>3.6111600000001368E-2</v>
      </c>
      <c r="M111" s="13" t="s">
        <v>69</v>
      </c>
    </row>
    <row r="112" spans="1:13" x14ac:dyDescent="0.25">
      <c r="A112" s="1">
        <v>71</v>
      </c>
      <c r="B112" s="33"/>
      <c r="C112" s="66">
        <v>43441350</v>
      </c>
      <c r="D112" s="146">
        <v>85.7</v>
      </c>
      <c r="E112" s="5">
        <v>72.227999999999994</v>
      </c>
      <c r="F112" s="5">
        <v>72.227999999999994</v>
      </c>
      <c r="G112" s="5"/>
      <c r="H112" s="16">
        <f t="shared" si="10"/>
        <v>0</v>
      </c>
      <c r="I112" s="16">
        <f t="shared" ref="I112:I117" si="11">((D112*0.015)*12)/7</f>
        <v>2.2037142857142862</v>
      </c>
      <c r="J112" s="16">
        <f t="shared" ref="J112:J115" si="12">D112/($E$11-$E$13)*$J$10</f>
        <v>-0.73890771287288837</v>
      </c>
      <c r="K112" s="16">
        <f t="shared" si="5"/>
        <v>1.4648065728413977</v>
      </c>
      <c r="M112" s="13" t="s">
        <v>71</v>
      </c>
    </row>
    <row r="113" spans="1:15" x14ac:dyDescent="0.25">
      <c r="A113" s="1">
        <v>72</v>
      </c>
      <c r="B113" s="33"/>
      <c r="C113" s="66">
        <v>43441353</v>
      </c>
      <c r="D113" s="146">
        <v>52.8</v>
      </c>
      <c r="E113" s="5">
        <v>30.652999999999999</v>
      </c>
      <c r="F113" s="5">
        <v>31.169</v>
      </c>
      <c r="G113" s="5"/>
      <c r="H113" s="16">
        <f t="shared" si="10"/>
        <v>0</v>
      </c>
      <c r="I113" s="16">
        <f t="shared" si="11"/>
        <v>1.3577142857142857</v>
      </c>
      <c r="J113" s="16">
        <f t="shared" si="12"/>
        <v>-0.45524302496719377</v>
      </c>
      <c r="K113" s="16">
        <f t="shared" si="5"/>
        <v>0.90247126074709194</v>
      </c>
      <c r="M113" s="13" t="s">
        <v>71</v>
      </c>
    </row>
    <row r="114" spans="1:15" x14ac:dyDescent="0.25">
      <c r="A114" s="1">
        <v>73</v>
      </c>
      <c r="B114" s="33"/>
      <c r="C114" s="66">
        <v>43441062</v>
      </c>
      <c r="D114" s="146">
        <v>52.8</v>
      </c>
      <c r="E114" s="5">
        <v>13.522600000000001</v>
      </c>
      <c r="F114" s="5">
        <v>13.028</v>
      </c>
      <c r="G114" s="5"/>
      <c r="H114" s="16">
        <f t="shared" si="10"/>
        <v>0</v>
      </c>
      <c r="I114" s="16">
        <f t="shared" si="11"/>
        <v>1.3577142857142857</v>
      </c>
      <c r="J114" s="16">
        <f t="shared" si="12"/>
        <v>-0.45524302496719377</v>
      </c>
      <c r="K114" s="16">
        <f t="shared" si="5"/>
        <v>0.90247126074709194</v>
      </c>
      <c r="M114" s="13" t="s">
        <v>71</v>
      </c>
    </row>
    <row r="115" spans="1:15" ht="15.75" thickBot="1" x14ac:dyDescent="0.3">
      <c r="A115" s="15">
        <v>74</v>
      </c>
      <c r="B115" s="35"/>
      <c r="C115" s="68">
        <v>43441059</v>
      </c>
      <c r="D115" s="90">
        <v>100.6</v>
      </c>
      <c r="E115" s="8">
        <v>45.456000000000003</v>
      </c>
      <c r="F115" s="8">
        <v>46.058999999999997</v>
      </c>
      <c r="G115" s="8"/>
      <c r="H115" s="91">
        <f t="shared" si="10"/>
        <v>0</v>
      </c>
      <c r="I115" s="16">
        <f t="shared" si="11"/>
        <v>2.5868571428571423</v>
      </c>
      <c r="J115" s="16">
        <f t="shared" si="12"/>
        <v>-0.86737591499431232</v>
      </c>
      <c r="K115" s="16">
        <f>H115+I115+J115</f>
        <v>1.71948122786283</v>
      </c>
      <c r="M115" s="13" t="s">
        <v>71</v>
      </c>
    </row>
    <row r="116" spans="1:15" ht="15.75" thickBot="1" x14ac:dyDescent="0.3">
      <c r="A116" s="219" t="s">
        <v>73</v>
      </c>
      <c r="B116" s="220"/>
      <c r="C116" s="220"/>
      <c r="D116" s="92">
        <f>SUM(D42:D115)</f>
        <v>5338.7000000000025</v>
      </c>
      <c r="E116" s="221" t="s">
        <v>74</v>
      </c>
      <c r="F116" s="221"/>
      <c r="G116" s="221"/>
      <c r="H116" s="64">
        <f>SUM(H42:H115)</f>
        <v>14.474009799999997</v>
      </c>
      <c r="I116" s="64">
        <f>SUM(I42:I115)</f>
        <v>50.389714285714284</v>
      </c>
      <c r="J116" s="64">
        <f>SUM(J42:J115)</f>
        <v>-16.89572408571426</v>
      </c>
      <c r="K116" s="93">
        <f>SUM(K42:K115)</f>
        <v>47.968000000000025</v>
      </c>
      <c r="M116" s="13"/>
    </row>
    <row r="117" spans="1:15" x14ac:dyDescent="0.25">
      <c r="A117" s="9">
        <v>75</v>
      </c>
      <c r="B117" s="36"/>
      <c r="C117" s="69">
        <v>43441332</v>
      </c>
      <c r="D117" s="151">
        <v>85</v>
      </c>
      <c r="E117" s="6">
        <v>73.784000000000006</v>
      </c>
      <c r="F117" s="6">
        <v>74.683999999999997</v>
      </c>
      <c r="G117" s="6"/>
      <c r="H117" s="19">
        <f t="shared" si="10"/>
        <v>0</v>
      </c>
      <c r="I117" s="16">
        <f t="shared" si="11"/>
        <v>2.1857142857142855</v>
      </c>
      <c r="J117" s="16">
        <f>D117/($E$18-$E$20)*$J$17</f>
        <v>-0.30525939702686772</v>
      </c>
      <c r="K117" s="19">
        <f>H117+I117+J117</f>
        <v>1.8804548886874177</v>
      </c>
      <c r="M117" s="13" t="s">
        <v>71</v>
      </c>
    </row>
    <row r="118" spans="1:15" x14ac:dyDescent="0.25">
      <c r="A118" s="1">
        <v>76</v>
      </c>
      <c r="B118" s="47">
        <v>45939</v>
      </c>
      <c r="C118" s="66">
        <v>43441335</v>
      </c>
      <c r="D118" s="146">
        <v>58.3</v>
      </c>
      <c r="E118" s="5">
        <v>45.392000000000003</v>
      </c>
      <c r="F118" s="5">
        <v>45.707000000000001</v>
      </c>
      <c r="G118" s="5">
        <f>F118-E118</f>
        <v>0.31499999999999773</v>
      </c>
      <c r="H118" s="16">
        <f>G118*0.8598</f>
        <v>0.27083699999999805</v>
      </c>
      <c r="I118" s="19"/>
      <c r="J118" s="16"/>
      <c r="K118" s="19">
        <f t="shared" ref="K118:K172" si="13">H118+I118+J118</f>
        <v>0.27083699999999805</v>
      </c>
      <c r="M118" s="13" t="s">
        <v>69</v>
      </c>
    </row>
    <row r="119" spans="1:15" x14ac:dyDescent="0.25">
      <c r="A119" s="1">
        <v>77</v>
      </c>
      <c r="B119" s="47">
        <v>45950</v>
      </c>
      <c r="C119" s="66">
        <v>43441338</v>
      </c>
      <c r="D119" s="146">
        <v>58.5</v>
      </c>
      <c r="E119" s="5">
        <v>44.530999999999999</v>
      </c>
      <c r="F119" s="5">
        <v>44.530999999999999</v>
      </c>
      <c r="G119" s="5">
        <f>F119-E119</f>
        <v>0</v>
      </c>
      <c r="H119" s="16">
        <f>G119*0.8598</f>
        <v>0</v>
      </c>
      <c r="I119" s="19"/>
      <c r="J119" s="16"/>
      <c r="K119" s="19">
        <f t="shared" si="13"/>
        <v>0</v>
      </c>
      <c r="M119" s="13" t="s">
        <v>69</v>
      </c>
    </row>
    <row r="120" spans="1:15" x14ac:dyDescent="0.25">
      <c r="A120" s="1">
        <v>78</v>
      </c>
      <c r="B120" s="47">
        <v>45459</v>
      </c>
      <c r="C120" s="66" t="s">
        <v>109</v>
      </c>
      <c r="D120" s="146">
        <v>76.599999999999994</v>
      </c>
      <c r="E120" s="39">
        <v>5.6886999999999999</v>
      </c>
      <c r="F120" s="39">
        <v>6.7420999999999998</v>
      </c>
      <c r="G120" s="5"/>
      <c r="H120" s="16">
        <f>F120-E120</f>
        <v>1.0533999999999999</v>
      </c>
      <c r="I120" s="16"/>
      <c r="J120" s="16"/>
      <c r="K120" s="19">
        <f t="shared" si="13"/>
        <v>1.0533999999999999</v>
      </c>
      <c r="M120" s="13" t="s">
        <v>69</v>
      </c>
    </row>
    <row r="121" spans="1:15" x14ac:dyDescent="0.25">
      <c r="A121" s="1">
        <v>79</v>
      </c>
      <c r="B121" s="47">
        <v>45747</v>
      </c>
      <c r="C121" s="66">
        <v>43441336</v>
      </c>
      <c r="D121" s="146">
        <v>85.7</v>
      </c>
      <c r="E121" s="5">
        <v>23.170999999999999</v>
      </c>
      <c r="F121" s="5">
        <v>23.178000000000001</v>
      </c>
      <c r="G121" s="5">
        <f>F121-E121</f>
        <v>7.0000000000014495E-3</v>
      </c>
      <c r="H121" s="16">
        <f>G121*0.8598</f>
        <v>6.0186000000012462E-3</v>
      </c>
      <c r="I121" s="19"/>
      <c r="J121" s="16"/>
      <c r="K121" s="19">
        <f t="shared" si="13"/>
        <v>6.0186000000012462E-3</v>
      </c>
      <c r="M121" s="13" t="s">
        <v>69</v>
      </c>
      <c r="O121" s="24"/>
    </row>
    <row r="122" spans="1:15" x14ac:dyDescent="0.25">
      <c r="A122" s="1">
        <v>80</v>
      </c>
      <c r="B122" s="33"/>
      <c r="C122" s="66">
        <v>43441339</v>
      </c>
      <c r="D122" s="146">
        <v>58.3</v>
      </c>
      <c r="E122" s="5">
        <v>41.613999999999997</v>
      </c>
      <c r="F122" s="5">
        <v>41.762</v>
      </c>
      <c r="G122" s="5"/>
      <c r="H122" s="16">
        <f t="shared" si="10"/>
        <v>0</v>
      </c>
      <c r="I122" s="16">
        <f>((D122*0.015)*12)/7</f>
        <v>1.4991428571428571</v>
      </c>
      <c r="J122" s="16">
        <f>D122/($E$18-$E$20)*$J$17</f>
        <v>-0.20937203349019279</v>
      </c>
      <c r="K122" s="19">
        <f t="shared" si="13"/>
        <v>1.2897708236526644</v>
      </c>
      <c r="M122" s="13" t="s">
        <v>71</v>
      </c>
      <c r="O122" s="30"/>
    </row>
    <row r="123" spans="1:15" x14ac:dyDescent="0.25">
      <c r="A123" s="1">
        <v>81</v>
      </c>
      <c r="B123" s="47">
        <v>46832</v>
      </c>
      <c r="C123" s="66" t="s">
        <v>133</v>
      </c>
      <c r="D123" s="146">
        <v>58.4</v>
      </c>
      <c r="E123" s="39">
        <v>0</v>
      </c>
      <c r="F123" s="39">
        <v>1E-3</v>
      </c>
      <c r="G123" s="5"/>
      <c r="H123" s="16">
        <f>F123-E123</f>
        <v>1E-3</v>
      </c>
      <c r="I123" s="16"/>
      <c r="J123" s="16"/>
      <c r="K123" s="19">
        <f t="shared" si="13"/>
        <v>1E-3</v>
      </c>
      <c r="M123" s="13" t="s">
        <v>69</v>
      </c>
      <c r="O123" s="24"/>
    </row>
    <row r="124" spans="1:15" x14ac:dyDescent="0.25">
      <c r="A124" s="1">
        <v>82</v>
      </c>
      <c r="B124" s="48">
        <v>45937</v>
      </c>
      <c r="C124" s="66">
        <v>43441334</v>
      </c>
      <c r="D124" s="146">
        <v>76.400000000000006</v>
      </c>
      <c r="E124" s="5">
        <v>31.844000000000001</v>
      </c>
      <c r="F124" s="5">
        <v>31.844000000000001</v>
      </c>
      <c r="G124" s="5">
        <f>F124-E124</f>
        <v>0</v>
      </c>
      <c r="H124" s="16">
        <f t="shared" ref="H124:H151" si="14">G124*0.8598</f>
        <v>0</v>
      </c>
      <c r="I124" s="16"/>
      <c r="J124" s="16"/>
      <c r="K124" s="19">
        <f t="shared" si="13"/>
        <v>0</v>
      </c>
      <c r="M124" s="13" t="s">
        <v>69</v>
      </c>
    </row>
    <row r="125" spans="1:15" x14ac:dyDescent="0.25">
      <c r="A125" s="1">
        <v>83</v>
      </c>
      <c r="B125" s="47">
        <v>45847</v>
      </c>
      <c r="C125" s="66">
        <v>43441340</v>
      </c>
      <c r="D125" s="146">
        <v>85.5</v>
      </c>
      <c r="E125" s="5">
        <v>59.543999999999997</v>
      </c>
      <c r="F125" s="5">
        <v>59.777999999999999</v>
      </c>
      <c r="G125" s="5">
        <f>F125-E125</f>
        <v>0.23400000000000176</v>
      </c>
      <c r="H125" s="16">
        <f t="shared" si="14"/>
        <v>0.20119320000000152</v>
      </c>
      <c r="I125" s="19"/>
      <c r="J125" s="16"/>
      <c r="K125" s="19">
        <f t="shared" si="13"/>
        <v>0.20119320000000152</v>
      </c>
      <c r="M125" s="13" t="s">
        <v>69</v>
      </c>
    </row>
    <row r="126" spans="1:15" x14ac:dyDescent="0.25">
      <c r="A126" s="1">
        <v>84</v>
      </c>
      <c r="B126" s="33"/>
      <c r="C126" s="66">
        <v>43441326</v>
      </c>
      <c r="D126" s="146">
        <v>58.6</v>
      </c>
      <c r="E126" s="5">
        <v>6.2569999999999997</v>
      </c>
      <c r="F126" s="5">
        <v>6.2569999999999997</v>
      </c>
      <c r="G126" s="5"/>
      <c r="H126" s="16">
        <f t="shared" si="14"/>
        <v>0</v>
      </c>
      <c r="I126" s="16">
        <f>((D126*0.015)*12)/7</f>
        <v>1.5068571428571429</v>
      </c>
      <c r="J126" s="16">
        <f t="shared" ref="J126:J127" si="15">D126/($E$18-$E$20)*$J$17</f>
        <v>-0.21044941959734645</v>
      </c>
      <c r="K126" s="19">
        <f t="shared" si="13"/>
        <v>1.2964077232597964</v>
      </c>
      <c r="M126" s="13" t="s">
        <v>71</v>
      </c>
    </row>
    <row r="127" spans="1:15" x14ac:dyDescent="0.25">
      <c r="A127" s="1">
        <v>85</v>
      </c>
      <c r="B127" s="33"/>
      <c r="C127" s="66">
        <v>43441323</v>
      </c>
      <c r="D127" s="146">
        <v>59.6</v>
      </c>
      <c r="E127" s="5">
        <v>29.457000000000001</v>
      </c>
      <c r="F127" s="5">
        <v>30.068000000000001</v>
      </c>
      <c r="G127" s="5"/>
      <c r="H127" s="16">
        <f t="shared" si="14"/>
        <v>0</v>
      </c>
      <c r="I127" s="16">
        <f>((D127*0.015)*12)/7</f>
        <v>1.5325714285714285</v>
      </c>
      <c r="J127" s="16">
        <f t="shared" si="15"/>
        <v>-0.21404070662119196</v>
      </c>
      <c r="K127" s="19">
        <f t="shared" si="13"/>
        <v>1.3185307219502365</v>
      </c>
      <c r="M127" s="13" t="s">
        <v>71</v>
      </c>
    </row>
    <row r="128" spans="1:15" x14ac:dyDescent="0.25">
      <c r="A128" s="1">
        <v>86</v>
      </c>
      <c r="B128" s="48">
        <v>45674</v>
      </c>
      <c r="C128" s="66">
        <v>43441329</v>
      </c>
      <c r="D128" s="146">
        <v>76.5</v>
      </c>
      <c r="E128" s="5">
        <v>8.0090000000000003</v>
      </c>
      <c r="F128" s="5">
        <v>8.0090000000000003</v>
      </c>
      <c r="G128" s="5">
        <f>F128-E128</f>
        <v>0</v>
      </c>
      <c r="H128" s="16">
        <f>G128*0.8598</f>
        <v>0</v>
      </c>
      <c r="I128" s="16"/>
      <c r="J128" s="16"/>
      <c r="K128" s="19">
        <f>H128+I128+J128</f>
        <v>0</v>
      </c>
      <c r="M128" s="13" t="s">
        <v>69</v>
      </c>
    </row>
    <row r="129" spans="1:13" x14ac:dyDescent="0.25">
      <c r="A129" s="1">
        <v>87</v>
      </c>
      <c r="B129" s="33"/>
      <c r="C129" s="66">
        <v>43441330</v>
      </c>
      <c r="D129" s="146">
        <v>85.1</v>
      </c>
      <c r="E129" s="5">
        <v>54.47</v>
      </c>
      <c r="F129" s="5">
        <v>55.485999999999997</v>
      </c>
      <c r="G129" s="5"/>
      <c r="H129" s="16">
        <f t="shared" si="14"/>
        <v>0</v>
      </c>
      <c r="I129" s="16">
        <f>((D129*0.015)*12)/7</f>
        <v>2.1882857142857142</v>
      </c>
      <c r="J129" s="16">
        <f>D129/($E$18-$E$20)*$J$17</f>
        <v>-0.30561852572925224</v>
      </c>
      <c r="K129" s="19">
        <f t="shared" si="13"/>
        <v>1.8826671885564619</v>
      </c>
      <c r="M129" s="13" t="s">
        <v>71</v>
      </c>
    </row>
    <row r="130" spans="1:13" x14ac:dyDescent="0.25">
      <c r="A130" s="1">
        <v>88</v>
      </c>
      <c r="B130" s="47">
        <v>45914</v>
      </c>
      <c r="C130" s="66">
        <v>43441327</v>
      </c>
      <c r="D130" s="146">
        <v>58.4</v>
      </c>
      <c r="E130" s="5">
        <v>29.242000000000001</v>
      </c>
      <c r="F130" s="5">
        <v>29.901</v>
      </c>
      <c r="G130" s="5">
        <f>F130-E130</f>
        <v>0.65899999999999892</v>
      </c>
      <c r="H130" s="16">
        <f t="shared" si="14"/>
        <v>0.56660819999999912</v>
      </c>
      <c r="I130" s="19"/>
      <c r="J130" s="16"/>
      <c r="K130" s="19">
        <f t="shared" si="13"/>
        <v>0.56660819999999912</v>
      </c>
      <c r="M130" s="13" t="s">
        <v>69</v>
      </c>
    </row>
    <row r="131" spans="1:13" x14ac:dyDescent="0.25">
      <c r="A131" s="1">
        <v>89</v>
      </c>
      <c r="B131" s="47">
        <v>45889</v>
      </c>
      <c r="C131" s="66">
        <v>43441324</v>
      </c>
      <c r="D131" s="146">
        <v>58.7</v>
      </c>
      <c r="E131" s="5">
        <v>32.4</v>
      </c>
      <c r="F131" s="5">
        <v>32.877000000000002</v>
      </c>
      <c r="G131" s="5">
        <f>F131-E131</f>
        <v>0.47700000000000387</v>
      </c>
      <c r="H131" s="16">
        <f t="shared" si="14"/>
        <v>0.41012460000000334</v>
      </c>
      <c r="I131" s="19"/>
      <c r="J131" s="16"/>
      <c r="K131" s="19">
        <f t="shared" si="13"/>
        <v>0.41012460000000334</v>
      </c>
      <c r="M131" s="13" t="s">
        <v>69</v>
      </c>
    </row>
    <row r="132" spans="1:13" x14ac:dyDescent="0.25">
      <c r="A132" s="1">
        <v>90</v>
      </c>
      <c r="B132" s="33"/>
      <c r="C132" s="66">
        <v>43441325</v>
      </c>
      <c r="D132" s="146">
        <v>77.7</v>
      </c>
      <c r="E132" s="5">
        <v>38.664999999999999</v>
      </c>
      <c r="F132" s="5">
        <v>39.71</v>
      </c>
      <c r="G132" s="5"/>
      <c r="H132" s="16">
        <f t="shared" si="14"/>
        <v>0</v>
      </c>
      <c r="I132" s="16">
        <f>((D132*0.015)*12)/7</f>
        <v>1.998</v>
      </c>
      <c r="J132" s="16">
        <f>D132/($E$18-$E$20)*$J$17</f>
        <v>-0.27904300175279562</v>
      </c>
      <c r="K132" s="19">
        <f t="shared" si="13"/>
        <v>1.7189569982472044</v>
      </c>
      <c r="M132" s="13" t="s">
        <v>71</v>
      </c>
    </row>
    <row r="133" spans="1:13" x14ac:dyDescent="0.25">
      <c r="A133" s="1">
        <v>91</v>
      </c>
      <c r="B133" s="47">
        <v>45756</v>
      </c>
      <c r="C133" s="66">
        <v>43441328</v>
      </c>
      <c r="D133" s="146">
        <v>85.3</v>
      </c>
      <c r="E133" s="5">
        <v>17.184000000000001</v>
      </c>
      <c r="F133" s="5">
        <v>17.193999999999999</v>
      </c>
      <c r="G133" s="5">
        <f>F133-E133</f>
        <v>9.9999999999980105E-3</v>
      </c>
      <c r="H133" s="16">
        <f t="shared" si="14"/>
        <v>8.5979999999982893E-3</v>
      </c>
      <c r="I133" s="16"/>
      <c r="J133" s="16"/>
      <c r="K133" s="19">
        <f t="shared" si="13"/>
        <v>8.5979999999982893E-3</v>
      </c>
      <c r="M133" s="13" t="s">
        <v>69</v>
      </c>
    </row>
    <row r="134" spans="1:13" x14ac:dyDescent="0.25">
      <c r="A134" s="1">
        <v>92</v>
      </c>
      <c r="B134" s="47">
        <v>45900</v>
      </c>
      <c r="C134" s="66">
        <v>43441331</v>
      </c>
      <c r="D134" s="146">
        <v>58.5</v>
      </c>
      <c r="E134" s="5">
        <v>41.411000000000001</v>
      </c>
      <c r="F134" s="5">
        <v>41.652000000000001</v>
      </c>
      <c r="G134" s="5">
        <f>F134-E134</f>
        <v>0.24099999999999966</v>
      </c>
      <c r="H134" s="16">
        <f t="shared" si="14"/>
        <v>0.2072117999999997</v>
      </c>
      <c r="I134" s="19"/>
      <c r="J134" s="16"/>
      <c r="K134" s="19">
        <f t="shared" si="13"/>
        <v>0.2072117999999997</v>
      </c>
      <c r="M134" s="13" t="s">
        <v>69</v>
      </c>
    </row>
    <row r="135" spans="1:13" x14ac:dyDescent="0.25">
      <c r="A135" s="1">
        <v>93</v>
      </c>
      <c r="B135" s="47">
        <v>45912</v>
      </c>
      <c r="C135" s="66">
        <v>34242164</v>
      </c>
      <c r="D135" s="146">
        <v>59.3</v>
      </c>
      <c r="E135" s="5">
        <v>22.619</v>
      </c>
      <c r="F135" s="5">
        <v>22.623000000000001</v>
      </c>
      <c r="G135" s="5">
        <f>F135-E135</f>
        <v>4.0000000000013358E-3</v>
      </c>
      <c r="H135" s="16">
        <f t="shared" si="14"/>
        <v>3.4392000000011487E-3</v>
      </c>
      <c r="I135" s="19"/>
      <c r="J135" s="16"/>
      <c r="K135" s="19">
        <f t="shared" si="13"/>
        <v>3.4392000000011487E-3</v>
      </c>
      <c r="M135" s="13" t="s">
        <v>69</v>
      </c>
    </row>
    <row r="136" spans="1:13" x14ac:dyDescent="0.25">
      <c r="A136" s="1">
        <v>94</v>
      </c>
      <c r="B136" s="47">
        <v>46052</v>
      </c>
      <c r="C136" s="66">
        <v>34242158</v>
      </c>
      <c r="D136" s="146">
        <v>76.8</v>
      </c>
      <c r="E136" s="5">
        <v>34.213000000000001</v>
      </c>
      <c r="F136" s="5">
        <v>34.619</v>
      </c>
      <c r="G136" s="5">
        <f>F136-E136</f>
        <v>0.40599999999999881</v>
      </c>
      <c r="H136" s="16">
        <f>G136*0.8598</f>
        <v>0.34907879999999897</v>
      </c>
      <c r="I136" s="16"/>
      <c r="J136" s="16"/>
      <c r="K136" s="19">
        <f t="shared" si="13"/>
        <v>0.34907879999999897</v>
      </c>
      <c r="M136" s="13" t="s">
        <v>69</v>
      </c>
    </row>
    <row r="137" spans="1:13" x14ac:dyDescent="0.25">
      <c r="A137" s="1">
        <v>95</v>
      </c>
      <c r="B137" s="33"/>
      <c r="C137" s="66">
        <v>34242124</v>
      </c>
      <c r="D137" s="146">
        <v>85.2</v>
      </c>
      <c r="E137" s="5">
        <v>55.759</v>
      </c>
      <c r="F137" s="5">
        <v>55.872</v>
      </c>
      <c r="G137" s="5"/>
      <c r="H137" s="16">
        <f t="shared" si="14"/>
        <v>0</v>
      </c>
      <c r="I137" s="16">
        <f>((D137*0.015)*12)/7</f>
        <v>2.1908571428571428</v>
      </c>
      <c r="J137" s="16">
        <f>D137/($E$18-$E$20)*$J$17</f>
        <v>-0.30597765443163683</v>
      </c>
      <c r="K137" s="19">
        <f t="shared" si="13"/>
        <v>1.884879488425506</v>
      </c>
      <c r="M137" s="13" t="s">
        <v>71</v>
      </c>
    </row>
    <row r="138" spans="1:13" x14ac:dyDescent="0.25">
      <c r="A138" s="1">
        <v>96</v>
      </c>
      <c r="B138" s="47">
        <v>45767</v>
      </c>
      <c r="C138" s="66">
        <v>34242122</v>
      </c>
      <c r="D138" s="146">
        <v>58.1</v>
      </c>
      <c r="E138" s="5">
        <v>24.861999999999998</v>
      </c>
      <c r="F138" s="5">
        <v>25.51</v>
      </c>
      <c r="G138" s="5">
        <f>F138-E138</f>
        <v>0.64800000000000324</v>
      </c>
      <c r="H138" s="16">
        <f>G138*0.8598</f>
        <v>0.55715040000000282</v>
      </c>
      <c r="I138" s="19"/>
      <c r="J138" s="16"/>
      <c r="K138" s="19">
        <f t="shared" si="13"/>
        <v>0.55715040000000282</v>
      </c>
      <c r="M138" s="13" t="s">
        <v>69</v>
      </c>
    </row>
    <row r="139" spans="1:13" x14ac:dyDescent="0.25">
      <c r="A139" s="1">
        <v>97</v>
      </c>
      <c r="B139" s="33"/>
      <c r="C139" s="66">
        <v>34242128</v>
      </c>
      <c r="D139" s="137">
        <v>57.5</v>
      </c>
      <c r="E139" s="5">
        <v>47.197000000000003</v>
      </c>
      <c r="F139" s="5">
        <v>48.021999999999998</v>
      </c>
      <c r="G139" s="28"/>
      <c r="H139" s="16">
        <f t="shared" si="14"/>
        <v>0</v>
      </c>
      <c r="I139" s="16">
        <f>((D139*0.015)*12)/7</f>
        <v>1.4785714285714284</v>
      </c>
      <c r="J139" s="16">
        <f>D139/($E$18-$E$20)*$J$17</f>
        <v>-0.20649900387111639</v>
      </c>
      <c r="K139" s="19">
        <f t="shared" si="13"/>
        <v>1.2720724247003121</v>
      </c>
      <c r="M139" s="13" t="s">
        <v>71</v>
      </c>
    </row>
    <row r="140" spans="1:13" x14ac:dyDescent="0.25">
      <c r="A140" s="1">
        <v>98</v>
      </c>
      <c r="B140" s="47">
        <v>45459</v>
      </c>
      <c r="C140" s="66" t="s">
        <v>134</v>
      </c>
      <c r="D140" s="137">
        <v>77</v>
      </c>
      <c r="E140" s="39">
        <v>3.8481000000000001</v>
      </c>
      <c r="F140" s="39">
        <v>4.3311000000000002</v>
      </c>
      <c r="G140" s="28"/>
      <c r="H140" s="16">
        <f>F140-E140</f>
        <v>0.4830000000000001</v>
      </c>
      <c r="I140" s="16"/>
      <c r="J140" s="16"/>
      <c r="K140" s="19">
        <f t="shared" si="13"/>
        <v>0.4830000000000001</v>
      </c>
      <c r="M140" s="13" t="s">
        <v>69</v>
      </c>
    </row>
    <row r="141" spans="1:13" x14ac:dyDescent="0.25">
      <c r="A141" s="1">
        <v>99</v>
      </c>
      <c r="B141" s="47">
        <v>45767</v>
      </c>
      <c r="C141" s="66">
        <v>34242441</v>
      </c>
      <c r="D141" s="137">
        <v>85.4</v>
      </c>
      <c r="E141" s="5">
        <v>13.664</v>
      </c>
      <c r="F141" s="5">
        <v>13.664</v>
      </c>
      <c r="G141" s="28">
        <f>F141-E141</f>
        <v>0</v>
      </c>
      <c r="H141" s="16">
        <f t="shared" ref="H141:H142" si="16">G141*0.8598</f>
        <v>0</v>
      </c>
      <c r="I141" s="16"/>
      <c r="J141" s="16"/>
      <c r="K141" s="19">
        <f t="shared" si="13"/>
        <v>0</v>
      </c>
      <c r="M141" s="13" t="s">
        <v>69</v>
      </c>
    </row>
    <row r="142" spans="1:13" x14ac:dyDescent="0.25">
      <c r="A142" s="1">
        <v>100</v>
      </c>
      <c r="B142" s="47">
        <v>45585</v>
      </c>
      <c r="C142" s="66">
        <v>34242395</v>
      </c>
      <c r="D142" s="137">
        <v>58.2</v>
      </c>
      <c r="E142" s="5">
        <v>28.568999999999999</v>
      </c>
      <c r="F142" s="5">
        <v>28.568999999999999</v>
      </c>
      <c r="G142" s="28">
        <f>F142-E142</f>
        <v>0</v>
      </c>
      <c r="H142" s="16">
        <f t="shared" si="16"/>
        <v>0</v>
      </c>
      <c r="I142" s="19"/>
      <c r="J142" s="16"/>
      <c r="K142" s="19">
        <f t="shared" si="13"/>
        <v>0</v>
      </c>
      <c r="M142" s="13" t="s">
        <v>69</v>
      </c>
    </row>
    <row r="143" spans="1:13" x14ac:dyDescent="0.25">
      <c r="A143" s="1">
        <v>101</v>
      </c>
      <c r="B143" s="47">
        <v>45459</v>
      </c>
      <c r="C143" s="10" t="s">
        <v>96</v>
      </c>
      <c r="D143" s="137">
        <v>59</v>
      </c>
      <c r="E143" s="39">
        <v>0.1406</v>
      </c>
      <c r="F143" s="39">
        <v>0.1409</v>
      </c>
      <c r="G143" s="28"/>
      <c r="H143" s="16">
        <f>F143-E143</f>
        <v>2.9999999999999472E-4</v>
      </c>
      <c r="I143" s="16"/>
      <c r="J143" s="16"/>
      <c r="K143" s="19">
        <f t="shared" si="13"/>
        <v>2.9999999999999472E-4</v>
      </c>
      <c r="M143" s="13" t="s">
        <v>69</v>
      </c>
    </row>
    <row r="144" spans="1:13" x14ac:dyDescent="0.25">
      <c r="A144" s="1">
        <v>102</v>
      </c>
      <c r="B144" s="47">
        <v>45809</v>
      </c>
      <c r="C144" s="66">
        <v>34242123</v>
      </c>
      <c r="D144" s="137">
        <v>77.599999999999994</v>
      </c>
      <c r="E144" s="5">
        <v>18.891999999999999</v>
      </c>
      <c r="F144" s="5">
        <v>18.984000000000002</v>
      </c>
      <c r="G144" s="28">
        <f>F144-E144</f>
        <v>9.2000000000002302E-2</v>
      </c>
      <c r="H144" s="16">
        <f>G144*0.8598</f>
        <v>7.9101600000001979E-2</v>
      </c>
      <c r="I144" s="19"/>
      <c r="J144" s="16"/>
      <c r="K144" s="19">
        <f t="shared" si="13"/>
        <v>7.9101600000001979E-2</v>
      </c>
      <c r="M144" s="13" t="s">
        <v>69</v>
      </c>
    </row>
    <row r="145" spans="1:14" x14ac:dyDescent="0.25">
      <c r="A145" s="1">
        <v>103</v>
      </c>
      <c r="B145" s="47">
        <v>45327</v>
      </c>
      <c r="C145" s="10" t="s">
        <v>97</v>
      </c>
      <c r="D145" s="137">
        <v>85.4</v>
      </c>
      <c r="E145" s="5">
        <f>9.707+0.6405</f>
        <v>10.3475</v>
      </c>
      <c r="F145" s="5">
        <v>11.253</v>
      </c>
      <c r="G145" s="28"/>
      <c r="H145" s="16">
        <f>F145-E145</f>
        <v>0.90549999999999997</v>
      </c>
      <c r="I145" s="16"/>
      <c r="J145" s="16"/>
      <c r="K145" s="19">
        <f>H145+I145+J145</f>
        <v>0.90549999999999997</v>
      </c>
      <c r="M145" s="13" t="s">
        <v>69</v>
      </c>
    </row>
    <row r="146" spans="1:14" x14ac:dyDescent="0.25">
      <c r="A146" s="1">
        <v>104</v>
      </c>
      <c r="B146" s="73">
        <v>45951</v>
      </c>
      <c r="C146" s="70">
        <v>43242242</v>
      </c>
      <c r="D146" s="59">
        <v>58.8</v>
      </c>
      <c r="E146" s="5">
        <f>42.843+0.441</f>
        <v>43.284000000000006</v>
      </c>
      <c r="F146" s="5">
        <v>43.526000000000003</v>
      </c>
      <c r="G146" s="28">
        <f>F146-E146</f>
        <v>0.24199999999999733</v>
      </c>
      <c r="H146" s="16">
        <f>G146*0.8598</f>
        <v>0.20807159999999769</v>
      </c>
      <c r="I146" s="16"/>
      <c r="J146" s="16"/>
      <c r="K146" s="19">
        <f t="shared" si="13"/>
        <v>0.20807159999999769</v>
      </c>
      <c r="M146" s="13" t="s">
        <v>69</v>
      </c>
    </row>
    <row r="147" spans="1:14" x14ac:dyDescent="0.25">
      <c r="A147" s="1">
        <v>105</v>
      </c>
      <c r="B147" s="34"/>
      <c r="C147" s="66">
        <v>34242113</v>
      </c>
      <c r="D147" s="137">
        <v>59.2</v>
      </c>
      <c r="E147" s="5">
        <v>31.309000000000001</v>
      </c>
      <c r="F147" s="5">
        <v>31.309000000000001</v>
      </c>
      <c r="G147" s="28"/>
      <c r="H147" s="16">
        <f t="shared" si="14"/>
        <v>0</v>
      </c>
      <c r="I147" s="16">
        <f>((D147*0.015)*12)/7</f>
        <v>1.5222857142857145</v>
      </c>
      <c r="J147" s="16">
        <f>D147/($E$18-$E$20)*$J$17</f>
        <v>-0.2126041918116538</v>
      </c>
      <c r="K147" s="19">
        <f t="shared" si="13"/>
        <v>1.3096815224740608</v>
      </c>
      <c r="M147" s="13" t="s">
        <v>71</v>
      </c>
      <c r="N147" s="12"/>
    </row>
    <row r="148" spans="1:14" x14ac:dyDescent="0.25">
      <c r="A148" s="1">
        <v>106</v>
      </c>
      <c r="B148" s="47">
        <v>45703</v>
      </c>
      <c r="C148" s="67">
        <v>34242119</v>
      </c>
      <c r="D148" s="137">
        <v>76.8</v>
      </c>
      <c r="E148" s="5">
        <v>53.085000000000001</v>
      </c>
      <c r="F148" s="5">
        <v>53.92</v>
      </c>
      <c r="G148" s="28">
        <f>F148-E148</f>
        <v>0.83500000000000085</v>
      </c>
      <c r="H148" s="16">
        <f>G148*0.8598</f>
        <v>0.71793300000000071</v>
      </c>
      <c r="I148" s="19"/>
      <c r="J148" s="16"/>
      <c r="K148" s="19">
        <f t="shared" si="13"/>
        <v>0.71793300000000071</v>
      </c>
      <c r="L148" s="24"/>
      <c r="M148" s="13" t="s">
        <v>69</v>
      </c>
    </row>
    <row r="149" spans="1:14" x14ac:dyDescent="0.25">
      <c r="A149" s="1">
        <v>107</v>
      </c>
      <c r="B149" s="33"/>
      <c r="C149" s="66">
        <v>34242112</v>
      </c>
      <c r="D149" s="137">
        <v>85.1</v>
      </c>
      <c r="E149" s="5">
        <v>48.244</v>
      </c>
      <c r="F149" s="5">
        <v>49.277999999999999</v>
      </c>
      <c r="G149" s="28"/>
      <c r="H149" s="16">
        <f t="shared" si="14"/>
        <v>0</v>
      </c>
      <c r="I149" s="16">
        <f>((D149*0.015)*12)/7</f>
        <v>2.1882857142857142</v>
      </c>
      <c r="J149" s="16">
        <f>D149/($E$18-$E$20)*$J$17</f>
        <v>-0.30561852572925224</v>
      </c>
      <c r="K149" s="19">
        <f t="shared" si="13"/>
        <v>1.8826671885564619</v>
      </c>
      <c r="M149" s="13" t="s">
        <v>71</v>
      </c>
    </row>
    <row r="150" spans="1:14" x14ac:dyDescent="0.25">
      <c r="A150" s="1">
        <v>108</v>
      </c>
      <c r="B150" s="47">
        <v>45718</v>
      </c>
      <c r="C150" s="66">
        <v>34242115</v>
      </c>
      <c r="D150" s="137">
        <v>58.5</v>
      </c>
      <c r="E150" s="5">
        <v>17.07</v>
      </c>
      <c r="F150" s="5">
        <v>17.07</v>
      </c>
      <c r="G150" s="28">
        <f>F150-E150</f>
        <v>0</v>
      </c>
      <c r="H150" s="16">
        <f t="shared" si="14"/>
        <v>0</v>
      </c>
      <c r="I150" s="16"/>
      <c r="J150" s="16"/>
      <c r="K150" s="19">
        <f t="shared" si="13"/>
        <v>0</v>
      </c>
      <c r="L150" s="24"/>
      <c r="M150" s="13" t="s">
        <v>69</v>
      </c>
    </row>
    <row r="151" spans="1:14" x14ac:dyDescent="0.25">
      <c r="A151" s="1">
        <v>109</v>
      </c>
      <c r="B151" s="47">
        <v>45641</v>
      </c>
      <c r="C151" s="66">
        <v>34242118</v>
      </c>
      <c r="D151" s="137">
        <v>59.1</v>
      </c>
      <c r="E151" s="5">
        <v>42.991999999999997</v>
      </c>
      <c r="F151" s="5">
        <v>43.317999999999998</v>
      </c>
      <c r="G151" s="28">
        <f>F151-E151</f>
        <v>0.32600000000000051</v>
      </c>
      <c r="H151" s="16">
        <f t="shared" si="14"/>
        <v>0.28029480000000045</v>
      </c>
      <c r="I151" s="19"/>
      <c r="J151" s="16"/>
      <c r="K151" s="19">
        <f t="shared" si="13"/>
        <v>0.28029480000000045</v>
      </c>
      <c r="M151" s="13" t="s">
        <v>69</v>
      </c>
    </row>
    <row r="152" spans="1:14" x14ac:dyDescent="0.25">
      <c r="A152" s="1">
        <v>110</v>
      </c>
      <c r="B152" s="47">
        <v>45955</v>
      </c>
      <c r="C152" s="66" t="s">
        <v>111</v>
      </c>
      <c r="D152" s="137">
        <v>77.099999999999994</v>
      </c>
      <c r="E152" s="39">
        <v>2.1234000000000002</v>
      </c>
      <c r="F152" s="39">
        <v>2.3477999999999999</v>
      </c>
      <c r="G152" s="28"/>
      <c r="H152" s="16">
        <f t="shared" ref="H152:H153" si="17">F152-E152</f>
        <v>0.22439999999999971</v>
      </c>
      <c r="I152" s="16"/>
      <c r="J152" s="16"/>
      <c r="K152" s="19">
        <f t="shared" si="13"/>
        <v>0.22439999999999971</v>
      </c>
      <c r="M152" s="13" t="s">
        <v>69</v>
      </c>
    </row>
    <row r="153" spans="1:14" x14ac:dyDescent="0.25">
      <c r="A153" s="1">
        <v>111</v>
      </c>
      <c r="B153" s="47">
        <v>45327</v>
      </c>
      <c r="C153" s="10" t="s">
        <v>58</v>
      </c>
      <c r="D153" s="137">
        <v>85.1</v>
      </c>
      <c r="E153" s="39">
        <v>8.7609999999999992</v>
      </c>
      <c r="F153" s="39">
        <v>8.9649999999999999</v>
      </c>
      <c r="G153" s="58"/>
      <c r="H153" s="16">
        <f t="shared" si="17"/>
        <v>0.20400000000000063</v>
      </c>
      <c r="I153" s="19"/>
      <c r="J153" s="16"/>
      <c r="K153" s="19">
        <f t="shared" si="13"/>
        <v>0.20400000000000063</v>
      </c>
      <c r="M153" s="13" t="s">
        <v>69</v>
      </c>
    </row>
    <row r="154" spans="1:14" x14ac:dyDescent="0.25">
      <c r="A154" s="1">
        <v>112</v>
      </c>
      <c r="B154" s="47">
        <v>45622</v>
      </c>
      <c r="C154" s="66">
        <v>34242117</v>
      </c>
      <c r="D154" s="137">
        <v>57.5</v>
      </c>
      <c r="E154" s="5">
        <v>21.783999999999999</v>
      </c>
      <c r="F154" s="5">
        <v>21.9</v>
      </c>
      <c r="G154" s="28">
        <f t="shared" ref="G154:G162" si="18">F154-E154</f>
        <v>0.11599999999999966</v>
      </c>
      <c r="H154" s="16">
        <f t="shared" ref="H154:H182" si="19">G154*0.8598</f>
        <v>9.9736799999999709E-2</v>
      </c>
      <c r="I154" s="19"/>
      <c r="J154" s="16"/>
      <c r="K154" s="19">
        <f t="shared" si="13"/>
        <v>9.9736799999999709E-2</v>
      </c>
      <c r="M154" s="13" t="s">
        <v>69</v>
      </c>
    </row>
    <row r="155" spans="1:14" x14ac:dyDescent="0.25">
      <c r="A155" s="1">
        <v>113</v>
      </c>
      <c r="B155" s="47">
        <v>45957</v>
      </c>
      <c r="C155" s="66">
        <v>34242125</v>
      </c>
      <c r="D155" s="137">
        <v>58.9</v>
      </c>
      <c r="E155" s="5">
        <v>22.931999999999999</v>
      </c>
      <c r="F155" s="5">
        <v>23.247</v>
      </c>
      <c r="G155" s="28">
        <f t="shared" si="18"/>
        <v>0.31500000000000128</v>
      </c>
      <c r="H155" s="16">
        <f t="shared" si="19"/>
        <v>0.2708370000000011</v>
      </c>
      <c r="I155" s="16"/>
      <c r="J155" s="16"/>
      <c r="K155" s="19">
        <f t="shared" si="13"/>
        <v>0.2708370000000011</v>
      </c>
      <c r="M155" s="13" t="s">
        <v>69</v>
      </c>
    </row>
    <row r="156" spans="1:14" x14ac:dyDescent="0.25">
      <c r="A156" s="1">
        <v>114</v>
      </c>
      <c r="B156" s="48">
        <v>45875</v>
      </c>
      <c r="C156" s="66">
        <v>34242154</v>
      </c>
      <c r="D156" s="137">
        <v>77.099999999999994</v>
      </c>
      <c r="E156" s="5">
        <v>6.444</v>
      </c>
      <c r="F156" s="5">
        <v>6.444</v>
      </c>
      <c r="G156" s="28">
        <f t="shared" si="18"/>
        <v>0</v>
      </c>
      <c r="H156" s="16">
        <f t="shared" si="19"/>
        <v>0</v>
      </c>
      <c r="I156" s="16"/>
      <c r="J156" s="16"/>
      <c r="K156" s="19">
        <f t="shared" si="13"/>
        <v>0</v>
      </c>
      <c r="M156" s="13" t="s">
        <v>69</v>
      </c>
    </row>
    <row r="157" spans="1:14" x14ac:dyDescent="0.25">
      <c r="A157" s="1">
        <v>115</v>
      </c>
      <c r="B157" s="47">
        <v>45912</v>
      </c>
      <c r="C157" s="66">
        <v>34242149</v>
      </c>
      <c r="D157" s="137">
        <v>85.3</v>
      </c>
      <c r="E157" s="5">
        <v>35.110999999999997</v>
      </c>
      <c r="F157" s="5">
        <v>35.655999999999999</v>
      </c>
      <c r="G157" s="28">
        <f t="shared" si="18"/>
        <v>0.54500000000000171</v>
      </c>
      <c r="H157" s="16">
        <f t="shared" si="19"/>
        <v>0.46859100000000148</v>
      </c>
      <c r="I157" s="19"/>
      <c r="J157" s="16"/>
      <c r="K157" s="19">
        <f t="shared" si="13"/>
        <v>0.46859100000000148</v>
      </c>
      <c r="M157" s="13" t="s">
        <v>69</v>
      </c>
    </row>
    <row r="158" spans="1:14" x14ac:dyDescent="0.25">
      <c r="A158" s="1">
        <v>116</v>
      </c>
      <c r="B158" s="47">
        <v>46112</v>
      </c>
      <c r="C158" s="66">
        <v>34242157</v>
      </c>
      <c r="D158" s="137">
        <v>59.6</v>
      </c>
      <c r="E158" s="5">
        <v>26.864999999999998</v>
      </c>
      <c r="F158" s="5">
        <v>26.864999999999998</v>
      </c>
      <c r="G158" s="28">
        <f t="shared" si="18"/>
        <v>0</v>
      </c>
      <c r="H158" s="16">
        <f t="shared" si="19"/>
        <v>0</v>
      </c>
      <c r="I158" s="16"/>
      <c r="J158" s="16"/>
      <c r="K158" s="19">
        <f t="shared" si="13"/>
        <v>0</v>
      </c>
      <c r="M158" s="13" t="s">
        <v>69</v>
      </c>
    </row>
    <row r="159" spans="1:14" x14ac:dyDescent="0.25">
      <c r="A159" s="1">
        <v>117</v>
      </c>
      <c r="B159" s="47">
        <v>45732</v>
      </c>
      <c r="C159" s="66">
        <v>41341239</v>
      </c>
      <c r="D159" s="137">
        <v>59</v>
      </c>
      <c r="E159" s="5">
        <v>13.278</v>
      </c>
      <c r="F159" s="5">
        <v>13.278</v>
      </c>
      <c r="G159" s="28">
        <f t="shared" si="18"/>
        <v>0</v>
      </c>
      <c r="H159" s="16">
        <f t="shared" si="19"/>
        <v>0</v>
      </c>
      <c r="I159" s="19"/>
      <c r="J159" s="16"/>
      <c r="K159" s="19">
        <f t="shared" si="13"/>
        <v>0</v>
      </c>
      <c r="M159" s="13" t="s">
        <v>69</v>
      </c>
    </row>
    <row r="160" spans="1:14" x14ac:dyDescent="0.25">
      <c r="A160" s="1">
        <v>118</v>
      </c>
      <c r="B160" s="47">
        <v>45718</v>
      </c>
      <c r="C160" s="66">
        <v>34242156</v>
      </c>
      <c r="D160" s="137">
        <v>78</v>
      </c>
      <c r="E160" s="5">
        <v>10.987</v>
      </c>
      <c r="F160" s="5">
        <v>11.018000000000001</v>
      </c>
      <c r="G160" s="28">
        <f t="shared" si="18"/>
        <v>3.1000000000000583E-2</v>
      </c>
      <c r="H160" s="16">
        <f t="shared" si="19"/>
        <v>2.6653800000000501E-2</v>
      </c>
      <c r="I160" s="16"/>
      <c r="J160" s="16"/>
      <c r="K160" s="19">
        <f t="shared" si="13"/>
        <v>2.6653800000000501E-2</v>
      </c>
      <c r="M160" s="13" t="s">
        <v>69</v>
      </c>
    </row>
    <row r="161" spans="1:15" x14ac:dyDescent="0.25">
      <c r="A161" s="1">
        <v>119</v>
      </c>
      <c r="B161" s="47">
        <v>45755</v>
      </c>
      <c r="C161" s="66">
        <v>34242162</v>
      </c>
      <c r="D161" s="146">
        <v>85.5</v>
      </c>
      <c r="E161" s="5">
        <v>33.378999999999998</v>
      </c>
      <c r="F161" s="5">
        <v>33.959000000000003</v>
      </c>
      <c r="G161" s="5">
        <f t="shared" si="18"/>
        <v>0.5800000000000054</v>
      </c>
      <c r="H161" s="16">
        <f t="shared" si="19"/>
        <v>0.49868400000000462</v>
      </c>
      <c r="I161" s="19"/>
      <c r="J161" s="16"/>
      <c r="K161" s="19">
        <f t="shared" si="13"/>
        <v>0.49868400000000462</v>
      </c>
      <c r="M161" s="13" t="s">
        <v>69</v>
      </c>
    </row>
    <row r="162" spans="1:15" x14ac:dyDescent="0.25">
      <c r="A162" s="1">
        <v>120</v>
      </c>
      <c r="B162" s="47">
        <v>45922</v>
      </c>
      <c r="C162" s="66">
        <v>20140179</v>
      </c>
      <c r="D162" s="146">
        <v>58.9</v>
      </c>
      <c r="E162" s="5">
        <v>31.878</v>
      </c>
      <c r="F162" s="5">
        <v>32.250999999999998</v>
      </c>
      <c r="G162" s="5">
        <f t="shared" si="18"/>
        <v>0.37299999999999756</v>
      </c>
      <c r="H162" s="16">
        <f t="shared" si="19"/>
        <v>0.32070539999999792</v>
      </c>
      <c r="I162" s="19"/>
      <c r="J162" s="16"/>
      <c r="K162" s="19">
        <f t="shared" si="13"/>
        <v>0.32070539999999792</v>
      </c>
      <c r="M162" s="13" t="s">
        <v>69</v>
      </c>
    </row>
    <row r="163" spans="1:15" x14ac:dyDescent="0.25">
      <c r="A163" s="1">
        <v>121</v>
      </c>
      <c r="B163" s="33"/>
      <c r="C163" s="66">
        <v>34242161</v>
      </c>
      <c r="D163" s="146">
        <v>59.2</v>
      </c>
      <c r="E163" s="5">
        <v>35.777999999999999</v>
      </c>
      <c r="F163" s="5">
        <v>36.322000000000003</v>
      </c>
      <c r="G163" s="5"/>
      <c r="H163" s="16">
        <f t="shared" si="19"/>
        <v>0</v>
      </c>
      <c r="I163" s="16">
        <f>((D163*0.015)*12)/7</f>
        <v>1.5222857142857145</v>
      </c>
      <c r="J163" s="16">
        <f t="shared" ref="J163:J164" si="20">D163/($E$18-$E$20)*$J$17</f>
        <v>-0.2126041918116538</v>
      </c>
      <c r="K163" s="19">
        <f t="shared" si="13"/>
        <v>1.3096815224740608</v>
      </c>
      <c r="M163" s="13" t="s">
        <v>71</v>
      </c>
    </row>
    <row r="164" spans="1:15" x14ac:dyDescent="0.25">
      <c r="A164" s="1">
        <v>122</v>
      </c>
      <c r="B164" s="34"/>
      <c r="C164" s="66">
        <v>34242151</v>
      </c>
      <c r="D164" s="146">
        <v>78.099999999999994</v>
      </c>
      <c r="E164" s="5">
        <v>32.244999999999997</v>
      </c>
      <c r="F164" s="5">
        <v>32.704000000000001</v>
      </c>
      <c r="G164" s="5"/>
      <c r="H164" s="16">
        <f t="shared" si="19"/>
        <v>0</v>
      </c>
      <c r="I164" s="16">
        <f>((D164*0.015)*12)/7</f>
        <v>2.0082857142857136</v>
      </c>
      <c r="J164" s="16">
        <f t="shared" si="20"/>
        <v>-0.28047951656233372</v>
      </c>
      <c r="K164" s="19">
        <f t="shared" si="13"/>
        <v>1.7278061977233798</v>
      </c>
      <c r="M164" s="13" t="s">
        <v>71</v>
      </c>
    </row>
    <row r="165" spans="1:15" x14ac:dyDescent="0.25">
      <c r="A165" s="1">
        <v>123</v>
      </c>
      <c r="B165" s="47">
        <v>45748</v>
      </c>
      <c r="C165" s="66">
        <v>34242148</v>
      </c>
      <c r="D165" s="146">
        <v>85.2</v>
      </c>
      <c r="E165" s="5">
        <v>15.42</v>
      </c>
      <c r="F165" s="5">
        <v>15.436999999999999</v>
      </c>
      <c r="G165" s="5">
        <f>F165-E165</f>
        <v>1.699999999999946E-2</v>
      </c>
      <c r="H165" s="16">
        <f t="shared" si="19"/>
        <v>1.4616599999999536E-2</v>
      </c>
      <c r="I165" s="19"/>
      <c r="J165" s="16"/>
      <c r="K165" s="19">
        <f t="shared" si="13"/>
        <v>1.4616599999999536E-2</v>
      </c>
      <c r="M165" s="13" t="s">
        <v>69</v>
      </c>
    </row>
    <row r="166" spans="1:15" x14ac:dyDescent="0.25">
      <c r="A166" s="1">
        <v>124</v>
      </c>
      <c r="B166" s="47">
        <v>45747</v>
      </c>
      <c r="C166" s="66">
        <v>34242163</v>
      </c>
      <c r="D166" s="146">
        <v>59.3</v>
      </c>
      <c r="E166" s="5">
        <v>36.673000000000002</v>
      </c>
      <c r="F166" s="5">
        <v>36.875999999999998</v>
      </c>
      <c r="G166" s="5">
        <f>F166-E166</f>
        <v>0.20299999999999585</v>
      </c>
      <c r="H166" s="16">
        <f t="shared" si="19"/>
        <v>0.17453939999999643</v>
      </c>
      <c r="I166" s="19"/>
      <c r="J166" s="16"/>
      <c r="K166" s="19">
        <f t="shared" si="13"/>
        <v>0.17453939999999643</v>
      </c>
      <c r="M166" s="13" t="s">
        <v>69</v>
      </c>
    </row>
    <row r="167" spans="1:15" x14ac:dyDescent="0.25">
      <c r="A167" s="1">
        <v>125</v>
      </c>
      <c r="B167" s="47">
        <v>45944</v>
      </c>
      <c r="C167" s="66">
        <v>34242153</v>
      </c>
      <c r="D167" s="146">
        <v>59.2</v>
      </c>
      <c r="E167" s="5">
        <v>43.036000000000001</v>
      </c>
      <c r="F167" s="5">
        <v>44.064</v>
      </c>
      <c r="G167" s="5">
        <f>F167-E167</f>
        <v>1.0279999999999987</v>
      </c>
      <c r="H167" s="16">
        <f t="shared" si="19"/>
        <v>0.88387439999999884</v>
      </c>
      <c r="I167" s="19"/>
      <c r="J167" s="16"/>
      <c r="K167" s="19">
        <f t="shared" si="13"/>
        <v>0.88387439999999884</v>
      </c>
      <c r="M167" s="13" t="s">
        <v>69</v>
      </c>
    </row>
    <row r="168" spans="1:15" x14ac:dyDescent="0.25">
      <c r="A168" s="1">
        <v>126</v>
      </c>
      <c r="B168" s="48">
        <v>45875</v>
      </c>
      <c r="C168" s="66">
        <v>20140213</v>
      </c>
      <c r="D168" s="146">
        <v>77.599999999999994</v>
      </c>
      <c r="E168" s="5">
        <v>6.8339999999999996</v>
      </c>
      <c r="F168" s="5">
        <v>6.8339999999999996</v>
      </c>
      <c r="G168" s="5">
        <f>F168-E168</f>
        <v>0</v>
      </c>
      <c r="H168" s="16">
        <f t="shared" si="19"/>
        <v>0</v>
      </c>
      <c r="I168" s="16"/>
      <c r="J168" s="16"/>
      <c r="K168" s="19">
        <f t="shared" si="13"/>
        <v>0</v>
      </c>
      <c r="M168" s="13" t="s">
        <v>69</v>
      </c>
    </row>
    <row r="169" spans="1:15" x14ac:dyDescent="0.25">
      <c r="A169" s="1">
        <v>127</v>
      </c>
      <c r="B169" s="33"/>
      <c r="C169" s="66">
        <v>34242152</v>
      </c>
      <c r="D169" s="146">
        <v>85.2</v>
      </c>
      <c r="E169" s="5">
        <v>81.004000000000005</v>
      </c>
      <c r="F169" s="5">
        <v>82.391000000000005</v>
      </c>
      <c r="G169" s="5"/>
      <c r="H169" s="16">
        <f t="shared" si="19"/>
        <v>0</v>
      </c>
      <c r="I169" s="16">
        <f>((D169*0.015)*12)/7</f>
        <v>2.1908571428571428</v>
      </c>
      <c r="J169" s="16">
        <f t="shared" ref="J169:J170" si="21">D169/($E$18-$E$20)*$J$17</f>
        <v>-0.30597765443163683</v>
      </c>
      <c r="K169" s="19">
        <f t="shared" si="13"/>
        <v>1.884879488425506</v>
      </c>
      <c r="M169" s="13" t="s">
        <v>71</v>
      </c>
    </row>
    <row r="170" spans="1:15" x14ac:dyDescent="0.25">
      <c r="A170" s="1">
        <v>128</v>
      </c>
      <c r="B170" s="33"/>
      <c r="C170" s="66">
        <v>34242147</v>
      </c>
      <c r="D170" s="146">
        <v>58.9</v>
      </c>
      <c r="E170" s="5">
        <v>24.827000000000002</v>
      </c>
      <c r="F170" s="5">
        <v>24.864000000000001</v>
      </c>
      <c r="G170" s="5"/>
      <c r="H170" s="16">
        <f t="shared" si="19"/>
        <v>0</v>
      </c>
      <c r="I170" s="16">
        <f>((D170*0.015)*12)/7</f>
        <v>1.5145714285714287</v>
      </c>
      <c r="J170" s="16">
        <f t="shared" si="21"/>
        <v>-0.21152680570450011</v>
      </c>
      <c r="K170" s="19">
        <f t="shared" si="13"/>
        <v>1.3030446228669286</v>
      </c>
      <c r="M170" s="13" t="s">
        <v>71</v>
      </c>
    </row>
    <row r="171" spans="1:15" x14ac:dyDescent="0.25">
      <c r="A171" s="1">
        <v>129</v>
      </c>
      <c r="B171" s="47">
        <v>45984</v>
      </c>
      <c r="C171" s="66" t="s">
        <v>112</v>
      </c>
      <c r="D171" s="146">
        <v>58.6</v>
      </c>
      <c r="E171" s="39">
        <v>3.1539999999999999</v>
      </c>
      <c r="F171" s="39">
        <v>3.2930000000000001</v>
      </c>
      <c r="G171" s="5"/>
      <c r="H171" s="16">
        <f>F171-E171</f>
        <v>0.13900000000000023</v>
      </c>
      <c r="I171" s="16"/>
      <c r="J171" s="16"/>
      <c r="K171" s="19">
        <f t="shared" si="13"/>
        <v>0.13900000000000023</v>
      </c>
      <c r="M171" s="13" t="s">
        <v>69</v>
      </c>
    </row>
    <row r="172" spans="1:15" ht="15.75" thickBot="1" x14ac:dyDescent="0.3">
      <c r="A172" s="15">
        <v>130</v>
      </c>
      <c r="B172" s="48">
        <v>45875</v>
      </c>
      <c r="C172" s="68">
        <v>34242150</v>
      </c>
      <c r="D172" s="90">
        <v>77.599999999999994</v>
      </c>
      <c r="E172" s="8">
        <v>6.798</v>
      </c>
      <c r="F172" s="8">
        <v>6.798</v>
      </c>
      <c r="G172" s="5">
        <f>F172-E172</f>
        <v>0</v>
      </c>
      <c r="H172" s="16">
        <f>G172*0.8598</f>
        <v>0</v>
      </c>
      <c r="I172" s="16"/>
      <c r="J172" s="16"/>
      <c r="K172" s="19">
        <f t="shared" si="13"/>
        <v>0</v>
      </c>
      <c r="M172" s="13" t="s">
        <v>69</v>
      </c>
    </row>
    <row r="173" spans="1:15" ht="15.75" thickBot="1" x14ac:dyDescent="0.3">
      <c r="A173" s="219" t="s">
        <v>75</v>
      </c>
      <c r="B173" s="220"/>
      <c r="C173" s="220"/>
      <c r="D173" s="92">
        <f>SUM(D117:D172)</f>
        <v>3918.9999999999991</v>
      </c>
      <c r="E173" s="221" t="s">
        <v>76</v>
      </c>
      <c r="F173" s="221"/>
      <c r="G173" s="221"/>
      <c r="H173" s="64">
        <f>SUM(H117:H172)</f>
        <v>9.634499200000004</v>
      </c>
      <c r="I173" s="64">
        <f>SUM(I117:I172)</f>
        <v>25.526571428571426</v>
      </c>
      <c r="J173" s="64">
        <f>SUM(J117:J172)</f>
        <v>-3.5650706285714309</v>
      </c>
      <c r="K173" s="93">
        <f>SUM(K117:K172)</f>
        <v>31.596</v>
      </c>
      <c r="M173" s="13"/>
    </row>
    <row r="174" spans="1:15" x14ac:dyDescent="0.25">
      <c r="A174" s="9">
        <v>131</v>
      </c>
      <c r="B174" s="105">
        <v>45957</v>
      </c>
      <c r="C174" s="69" t="s">
        <v>113</v>
      </c>
      <c r="D174" s="144">
        <v>84.1</v>
      </c>
      <c r="E174" s="6">
        <v>5.9320000000000004</v>
      </c>
      <c r="F174" s="6">
        <v>6.3220000000000001</v>
      </c>
      <c r="G174" s="29"/>
      <c r="H174" s="16">
        <f>F174-E174</f>
        <v>0.38999999999999968</v>
      </c>
      <c r="I174" s="16"/>
      <c r="J174" s="16">
        <f>D174/($E$25-$E$26)*$J$24</f>
        <v>0.51213230959201717</v>
      </c>
      <c r="K174" s="19">
        <f>H174+I174+J174</f>
        <v>0.90213230959201685</v>
      </c>
      <c r="M174" s="13" t="s">
        <v>69</v>
      </c>
      <c r="N174" s="12"/>
      <c r="O174" s="12"/>
    </row>
    <row r="175" spans="1:15" x14ac:dyDescent="0.25">
      <c r="A175" s="1">
        <v>132</v>
      </c>
      <c r="B175" s="47">
        <v>45915</v>
      </c>
      <c r="C175" s="66">
        <v>43242256</v>
      </c>
      <c r="D175" s="137">
        <v>56.3</v>
      </c>
      <c r="E175" s="5">
        <v>30.975000000000001</v>
      </c>
      <c r="F175" s="5">
        <v>31.163</v>
      </c>
      <c r="G175" s="28">
        <f>F175-E175</f>
        <v>0.18799999999999883</v>
      </c>
      <c r="H175" s="16">
        <f t="shared" si="19"/>
        <v>0.16164239999999899</v>
      </c>
      <c r="I175" s="19"/>
      <c r="J175" s="16">
        <f>D175/($E$25-$E$26)*$J$24</f>
        <v>0.3428424379313979</v>
      </c>
      <c r="K175" s="19">
        <f t="shared" ref="K175:K225" si="22">H175+I175+J175</f>
        <v>0.50448483793139687</v>
      </c>
      <c r="M175" s="13" t="s">
        <v>69</v>
      </c>
      <c r="N175" s="12"/>
    </row>
    <row r="176" spans="1:15" x14ac:dyDescent="0.25">
      <c r="A176" s="1">
        <v>133</v>
      </c>
      <c r="B176" s="47">
        <v>45719</v>
      </c>
      <c r="C176" s="66">
        <v>43242235</v>
      </c>
      <c r="D176" s="137">
        <v>56.1</v>
      </c>
      <c r="E176" s="5">
        <v>13.827999999999999</v>
      </c>
      <c r="F176" s="5">
        <v>13.827999999999999</v>
      </c>
      <c r="G176" s="28">
        <f>F176-E176</f>
        <v>0</v>
      </c>
      <c r="H176" s="16">
        <f t="shared" si="19"/>
        <v>0</v>
      </c>
      <c r="I176" s="16"/>
      <c r="J176" s="16">
        <f t="shared" ref="J176:J178" si="23">D176/($E$25-$E$26)*$J$24</f>
        <v>0.34162452518563807</v>
      </c>
      <c r="K176" s="19">
        <f t="shared" si="22"/>
        <v>0.34162452518563807</v>
      </c>
      <c r="M176" s="13" t="s">
        <v>69</v>
      </c>
      <c r="N176" s="12"/>
    </row>
    <row r="177" spans="1:15" x14ac:dyDescent="0.25">
      <c r="A177" s="1">
        <v>134</v>
      </c>
      <c r="B177" s="47">
        <v>45825</v>
      </c>
      <c r="C177" s="66">
        <v>43242250</v>
      </c>
      <c r="D177" s="137">
        <v>85.2</v>
      </c>
      <c r="E177" s="5">
        <v>34.813000000000002</v>
      </c>
      <c r="F177" s="5">
        <v>35.106999999999999</v>
      </c>
      <c r="G177" s="28">
        <f>F177-E177</f>
        <v>0.29399999999999693</v>
      </c>
      <c r="H177" s="16">
        <f t="shared" si="19"/>
        <v>0.25278119999999737</v>
      </c>
      <c r="I177" s="19"/>
      <c r="J177" s="16">
        <f t="shared" si="23"/>
        <v>0.51883082969369632</v>
      </c>
      <c r="K177" s="19">
        <f t="shared" si="22"/>
        <v>0.77161202969369369</v>
      </c>
      <c r="M177" s="13" t="s">
        <v>69</v>
      </c>
      <c r="N177" s="12"/>
    </row>
    <row r="178" spans="1:15" x14ac:dyDescent="0.25">
      <c r="A178" s="1">
        <v>135</v>
      </c>
      <c r="B178" s="47">
        <v>45941</v>
      </c>
      <c r="C178" s="66">
        <v>34242382</v>
      </c>
      <c r="D178" s="137">
        <v>84.4</v>
      </c>
      <c r="E178" s="5">
        <v>70.394000000000005</v>
      </c>
      <c r="F178" s="5">
        <v>70.432000000000002</v>
      </c>
      <c r="G178" s="28">
        <f>F178-E178</f>
        <v>3.7999999999996703E-2</v>
      </c>
      <c r="H178" s="16">
        <f t="shared" si="19"/>
        <v>3.2672399999997166E-2</v>
      </c>
      <c r="I178" s="19"/>
      <c r="J178" s="16">
        <f t="shared" si="23"/>
        <v>0.51395917871065699</v>
      </c>
      <c r="K178" s="19">
        <f t="shared" si="22"/>
        <v>0.54663157871065415</v>
      </c>
      <c r="M178" s="13" t="s">
        <v>69</v>
      </c>
      <c r="N178" s="12"/>
    </row>
    <row r="179" spans="1:15" x14ac:dyDescent="0.25">
      <c r="A179" s="1">
        <v>136</v>
      </c>
      <c r="B179" s="33"/>
      <c r="C179" s="66">
        <v>43242379</v>
      </c>
      <c r="D179" s="137">
        <v>56.2</v>
      </c>
      <c r="E179" s="5">
        <v>43.006</v>
      </c>
      <c r="F179" s="5">
        <v>43.58</v>
      </c>
      <c r="G179" s="29"/>
      <c r="H179" s="16">
        <f t="shared" si="19"/>
        <v>0</v>
      </c>
      <c r="I179" s="16">
        <f>((D179*0.015)*12)/7</f>
        <v>1.4451428571428571</v>
      </c>
      <c r="J179" s="16"/>
      <c r="K179" s="19">
        <f t="shared" si="22"/>
        <v>1.4451428571428571</v>
      </c>
      <c r="M179" s="13" t="s">
        <v>71</v>
      </c>
      <c r="N179" s="12"/>
      <c r="O179" s="12"/>
    </row>
    <row r="180" spans="1:15" x14ac:dyDescent="0.25">
      <c r="A180" s="1">
        <v>137</v>
      </c>
      <c r="B180" s="47">
        <v>45580</v>
      </c>
      <c r="C180" s="66">
        <v>43242240</v>
      </c>
      <c r="D180" s="137">
        <v>55.7</v>
      </c>
      <c r="E180" s="5">
        <v>29.434999999999999</v>
      </c>
      <c r="F180" s="5">
        <v>29.716000000000001</v>
      </c>
      <c r="G180" s="28">
        <f>F180-E180</f>
        <v>0.28100000000000236</v>
      </c>
      <c r="H180" s="16">
        <f t="shared" si="19"/>
        <v>0.24160380000000203</v>
      </c>
      <c r="I180" s="19"/>
      <c r="J180" s="16">
        <f>D180/($E$25-$E$26)*$J$24</f>
        <v>0.33918869969411847</v>
      </c>
      <c r="K180" s="19">
        <f>H180+I180+J180</f>
        <v>0.5807924996941205</v>
      </c>
      <c r="M180" s="13" t="s">
        <v>69</v>
      </c>
      <c r="N180" s="12"/>
    </row>
    <row r="181" spans="1:15" x14ac:dyDescent="0.25">
      <c r="A181" s="1">
        <v>138</v>
      </c>
      <c r="B181" s="47">
        <v>45580</v>
      </c>
      <c r="C181" s="66">
        <v>43242241</v>
      </c>
      <c r="D181" s="137">
        <v>84.3</v>
      </c>
      <c r="E181" s="5">
        <v>60.029000000000003</v>
      </c>
      <c r="F181" s="5">
        <v>60.895000000000003</v>
      </c>
      <c r="G181" s="28">
        <f>F181-E181</f>
        <v>0.86599999999999966</v>
      </c>
      <c r="H181" s="16">
        <f t="shared" si="19"/>
        <v>0.74458679999999966</v>
      </c>
      <c r="I181" s="19"/>
      <c r="J181" s="16">
        <f t="shared" ref="J181:J183" si="24">D181/($E$25-$E$26)*$J$24</f>
        <v>0.51335022233777705</v>
      </c>
      <c r="K181" s="19">
        <f t="shared" si="22"/>
        <v>1.2579370223377766</v>
      </c>
      <c r="M181" s="13" t="s">
        <v>69</v>
      </c>
      <c r="N181" s="12"/>
    </row>
    <row r="182" spans="1:15" x14ac:dyDescent="0.25">
      <c r="A182" s="1">
        <v>139</v>
      </c>
      <c r="B182" s="47">
        <v>45725</v>
      </c>
      <c r="C182" s="66">
        <v>34242385</v>
      </c>
      <c r="D182" s="137">
        <v>84</v>
      </c>
      <c r="E182" s="5">
        <v>10.612</v>
      </c>
      <c r="F182" s="5">
        <v>10.619</v>
      </c>
      <c r="G182" s="28">
        <f>F182-E182</f>
        <v>6.9999999999996732E-3</v>
      </c>
      <c r="H182" s="16">
        <f t="shared" si="19"/>
        <v>6.0185999999997188E-3</v>
      </c>
      <c r="I182" s="16"/>
      <c r="J182" s="16">
        <f t="shared" si="24"/>
        <v>0.51152335321913722</v>
      </c>
      <c r="K182" s="19">
        <f>H182+I182+J182</f>
        <v>0.51754195321913699</v>
      </c>
      <c r="M182" s="13" t="s">
        <v>69</v>
      </c>
      <c r="N182" s="12"/>
    </row>
    <row r="183" spans="1:15" x14ac:dyDescent="0.25">
      <c r="A183" s="1">
        <v>140</v>
      </c>
      <c r="B183" s="47">
        <v>45928</v>
      </c>
      <c r="C183" s="10" t="s">
        <v>103</v>
      </c>
      <c r="D183" s="137">
        <v>55.6</v>
      </c>
      <c r="E183" s="5">
        <v>5.05</v>
      </c>
      <c r="F183" s="5">
        <v>5.5739999999999998</v>
      </c>
      <c r="G183" s="28"/>
      <c r="H183" s="16">
        <f>F183-E183</f>
        <v>0.52400000000000002</v>
      </c>
      <c r="I183" s="19"/>
      <c r="J183" s="16">
        <f t="shared" si="24"/>
        <v>0.33857974332123847</v>
      </c>
      <c r="K183" s="19">
        <f t="shared" si="22"/>
        <v>0.86257974332123855</v>
      </c>
      <c r="M183" s="13" t="s">
        <v>69</v>
      </c>
      <c r="N183" s="12"/>
    </row>
    <row r="184" spans="1:15" x14ac:dyDescent="0.25">
      <c r="A184" s="1">
        <v>141</v>
      </c>
      <c r="B184" s="33"/>
      <c r="C184" s="66">
        <v>34242390</v>
      </c>
      <c r="D184" s="137">
        <v>56.4</v>
      </c>
      <c r="E184" s="5">
        <v>19.582999999999998</v>
      </c>
      <c r="F184" s="5">
        <v>19.795999999999999</v>
      </c>
      <c r="G184" s="28"/>
      <c r="H184" s="16">
        <f>G184*0.8598</f>
        <v>0</v>
      </c>
      <c r="I184" s="16">
        <f>((D184*0.015)*12)/7</f>
        <v>1.4502857142857142</v>
      </c>
      <c r="J184" s="16"/>
      <c r="K184" s="19">
        <f t="shared" si="22"/>
        <v>1.4502857142857142</v>
      </c>
      <c r="M184" s="13" t="s">
        <v>71</v>
      </c>
      <c r="N184" s="12"/>
      <c r="O184" s="12"/>
    </row>
    <row r="185" spans="1:15" x14ac:dyDescent="0.25">
      <c r="A185" s="1">
        <v>142</v>
      </c>
      <c r="B185" s="33" t="s">
        <v>59</v>
      </c>
      <c r="C185" s="10" t="s">
        <v>77</v>
      </c>
      <c r="D185" s="137">
        <v>84.1</v>
      </c>
      <c r="E185" s="39">
        <v>4.8452999999999999</v>
      </c>
      <c r="F185" s="39">
        <v>4.8487</v>
      </c>
      <c r="G185" s="28"/>
      <c r="H185" s="16">
        <f>F185-E185</f>
        <v>3.4000000000000696E-3</v>
      </c>
      <c r="I185" s="19"/>
      <c r="J185" s="16">
        <f>D185/($E$25-$E$26)*$J$24</f>
        <v>0.51213230959201717</v>
      </c>
      <c r="K185" s="19">
        <f t="shared" si="22"/>
        <v>0.51553230959201723</v>
      </c>
      <c r="M185" s="13" t="s">
        <v>69</v>
      </c>
      <c r="N185" s="12"/>
    </row>
    <row r="186" spans="1:15" x14ac:dyDescent="0.25">
      <c r="A186" s="1">
        <v>143</v>
      </c>
      <c r="B186" s="47">
        <v>45915</v>
      </c>
      <c r="C186" s="66">
        <v>34242383</v>
      </c>
      <c r="D186" s="137">
        <v>83.5</v>
      </c>
      <c r="E186" s="5">
        <v>38.085999999999999</v>
      </c>
      <c r="F186" s="5">
        <v>38.744</v>
      </c>
      <c r="G186" s="28">
        <f>F186-E186</f>
        <v>0.65800000000000125</v>
      </c>
      <c r="H186" s="16">
        <f t="shared" ref="H186:H214" si="25">G186*0.8598</f>
        <v>0.56574840000000104</v>
      </c>
      <c r="I186" s="19"/>
      <c r="J186" s="16">
        <f>D186/($E$25-$E$26)*$J$24</f>
        <v>0.50847857135473762</v>
      </c>
      <c r="K186" s="19">
        <f t="shared" si="22"/>
        <v>1.0742269713547388</v>
      </c>
      <c r="M186" s="13" t="s">
        <v>69</v>
      </c>
      <c r="N186" s="12"/>
    </row>
    <row r="187" spans="1:15" x14ac:dyDescent="0.25">
      <c r="A187" s="1">
        <v>144</v>
      </c>
      <c r="B187" s="34"/>
      <c r="C187" s="66">
        <v>34242379</v>
      </c>
      <c r="D187" s="137">
        <v>56.3</v>
      </c>
      <c r="E187" s="5">
        <v>24.872</v>
      </c>
      <c r="F187" s="5">
        <v>25.262</v>
      </c>
      <c r="G187" s="28"/>
      <c r="H187" s="16">
        <f t="shared" si="25"/>
        <v>0</v>
      </c>
      <c r="I187" s="16">
        <f>((D187*0.015)*12)/7</f>
        <v>1.4477142857142855</v>
      </c>
      <c r="J187" s="16"/>
      <c r="K187" s="19">
        <f t="shared" si="22"/>
        <v>1.4477142857142855</v>
      </c>
      <c r="M187" s="13" t="s">
        <v>71</v>
      </c>
      <c r="N187" s="12"/>
      <c r="O187" s="12"/>
    </row>
    <row r="188" spans="1:15" x14ac:dyDescent="0.25">
      <c r="A188" s="1">
        <v>145</v>
      </c>
      <c r="B188" s="47">
        <v>45829</v>
      </c>
      <c r="C188" s="66">
        <v>34242386</v>
      </c>
      <c r="D188" s="137">
        <v>56.6</v>
      </c>
      <c r="E188" s="5">
        <v>21.367000000000001</v>
      </c>
      <c r="F188" s="5">
        <v>21.713999999999999</v>
      </c>
      <c r="G188" s="28">
        <f>F188-E188</f>
        <v>0.34699999999999775</v>
      </c>
      <c r="H188" s="16">
        <f t="shared" si="25"/>
        <v>0.29835059999999808</v>
      </c>
      <c r="I188" s="19"/>
      <c r="J188" s="16">
        <f>D188/($E$25-$E$26)*$J$24</f>
        <v>0.34466930705003773</v>
      </c>
      <c r="K188" s="19">
        <f t="shared" si="22"/>
        <v>0.64301990705003575</v>
      </c>
      <c r="M188" s="13" t="s">
        <v>69</v>
      </c>
      <c r="N188" s="12"/>
    </row>
    <row r="189" spans="1:15" x14ac:dyDescent="0.25">
      <c r="A189" s="1">
        <v>146</v>
      </c>
      <c r="B189" s="47">
        <v>45829</v>
      </c>
      <c r="C189" s="66">
        <v>34242384</v>
      </c>
      <c r="D189" s="137">
        <v>84.3</v>
      </c>
      <c r="E189" s="5">
        <v>24.114999999999998</v>
      </c>
      <c r="F189" s="5">
        <v>24.940999999999999</v>
      </c>
      <c r="G189" s="28">
        <f>F189-E189</f>
        <v>0.82600000000000051</v>
      </c>
      <c r="H189" s="16">
        <f t="shared" si="25"/>
        <v>0.71019480000000046</v>
      </c>
      <c r="I189" s="16"/>
      <c r="J189" s="16">
        <f t="shared" ref="J189:J191" si="26">D189/($E$25-$E$26)*$J$24</f>
        <v>0.51335022233777705</v>
      </c>
      <c r="K189" s="19">
        <f t="shared" si="22"/>
        <v>1.2235450223377775</v>
      </c>
      <c r="M189" s="13" t="s">
        <v>69</v>
      </c>
      <c r="N189" s="12"/>
    </row>
    <row r="190" spans="1:15" x14ac:dyDescent="0.25">
      <c r="A190" s="1">
        <v>147</v>
      </c>
      <c r="B190" s="47">
        <v>45753</v>
      </c>
      <c r="C190" s="66">
        <v>34242301</v>
      </c>
      <c r="D190" s="137">
        <v>84.7</v>
      </c>
      <c r="E190" s="5">
        <v>37.003999999999998</v>
      </c>
      <c r="F190" s="5">
        <v>37.375999999999998</v>
      </c>
      <c r="G190" s="28">
        <f>F190-E190</f>
        <v>0.37199999999999989</v>
      </c>
      <c r="H190" s="16">
        <f t="shared" si="25"/>
        <v>0.3198455999999999</v>
      </c>
      <c r="I190" s="19"/>
      <c r="J190" s="16">
        <f t="shared" si="26"/>
        <v>0.51578604782929671</v>
      </c>
      <c r="K190" s="19">
        <f t="shared" si="22"/>
        <v>0.83563164782929666</v>
      </c>
      <c r="M190" s="13" t="s">
        <v>69</v>
      </c>
      <c r="N190" s="12"/>
    </row>
    <row r="191" spans="1:15" x14ac:dyDescent="0.25">
      <c r="A191" s="1">
        <v>148</v>
      </c>
      <c r="B191" s="47">
        <v>45899</v>
      </c>
      <c r="C191" s="66">
        <v>34242298</v>
      </c>
      <c r="D191" s="137">
        <v>56.4</v>
      </c>
      <c r="E191" s="5">
        <v>26.379000000000001</v>
      </c>
      <c r="F191" s="5">
        <v>27.178000000000001</v>
      </c>
      <c r="G191" s="28">
        <f>F191-E191</f>
        <v>0.79899999999999949</v>
      </c>
      <c r="H191" s="16">
        <f t="shared" si="25"/>
        <v>0.6869801999999996</v>
      </c>
      <c r="I191" s="19"/>
      <c r="J191" s="16">
        <f t="shared" si="26"/>
        <v>0.3434513943042779</v>
      </c>
      <c r="K191" s="19">
        <f t="shared" si="22"/>
        <v>1.0304315943042774</v>
      </c>
      <c r="M191" s="13" t="s">
        <v>69</v>
      </c>
      <c r="N191" s="12"/>
    </row>
    <row r="192" spans="1:15" x14ac:dyDescent="0.25">
      <c r="A192" s="1">
        <v>149</v>
      </c>
      <c r="B192" s="33"/>
      <c r="C192" s="66">
        <v>34242302</v>
      </c>
      <c r="D192" s="137">
        <v>56.7</v>
      </c>
      <c r="E192" s="5">
        <v>27.951000000000001</v>
      </c>
      <c r="F192" s="5">
        <v>28.105</v>
      </c>
      <c r="G192" s="28"/>
      <c r="H192" s="16">
        <f t="shared" si="25"/>
        <v>0</v>
      </c>
      <c r="I192" s="16">
        <f>((D192*0.015)*12)/7</f>
        <v>1.458</v>
      </c>
      <c r="J192" s="16"/>
      <c r="K192" s="19">
        <f t="shared" si="22"/>
        <v>1.458</v>
      </c>
      <c r="M192" s="13" t="s">
        <v>71</v>
      </c>
      <c r="N192" s="12"/>
      <c r="O192" s="12"/>
    </row>
    <row r="193" spans="1:16" x14ac:dyDescent="0.25">
      <c r="A193" s="1">
        <v>150</v>
      </c>
      <c r="B193" s="47">
        <v>45873</v>
      </c>
      <c r="C193" s="66">
        <v>34242299</v>
      </c>
      <c r="D193" s="137">
        <v>84.6</v>
      </c>
      <c r="E193" s="5">
        <v>21.257999999999999</v>
      </c>
      <c r="F193" s="5">
        <v>21.268000000000001</v>
      </c>
      <c r="G193" s="28">
        <f>F193-E193</f>
        <v>1.0000000000001563E-2</v>
      </c>
      <c r="H193" s="16">
        <f t="shared" si="25"/>
        <v>8.5980000000013442E-3</v>
      </c>
      <c r="I193" s="16"/>
      <c r="J193" s="16">
        <f>D193/($E$25-$E$26)*$J$24</f>
        <v>0.51517709145641677</v>
      </c>
      <c r="K193" s="19">
        <f t="shared" si="22"/>
        <v>0.5237750914564181</v>
      </c>
      <c r="M193" s="13" t="s">
        <v>69</v>
      </c>
      <c r="N193" s="12"/>
    </row>
    <row r="194" spans="1:16" x14ac:dyDescent="0.25">
      <c r="A194" s="1">
        <v>151</v>
      </c>
      <c r="B194" s="47">
        <v>45937</v>
      </c>
      <c r="C194" s="66">
        <v>34242300</v>
      </c>
      <c r="D194" s="137">
        <v>84.6</v>
      </c>
      <c r="E194" s="5">
        <v>35.171999999999997</v>
      </c>
      <c r="F194" s="5">
        <v>35.195</v>
      </c>
      <c r="G194" s="28">
        <f>F194-E194</f>
        <v>2.300000000000324E-2</v>
      </c>
      <c r="H194" s="16">
        <f t="shared" si="25"/>
        <v>1.9775400000002785E-2</v>
      </c>
      <c r="I194" s="19"/>
      <c r="J194" s="16">
        <f t="shared" ref="J194:J197" si="27">D194/($E$25-$E$26)*$J$24</f>
        <v>0.51517709145641677</v>
      </c>
      <c r="K194" s="19">
        <f t="shared" si="22"/>
        <v>0.53495249145641954</v>
      </c>
      <c r="M194" s="13" t="s">
        <v>69</v>
      </c>
      <c r="N194" s="12"/>
    </row>
    <row r="195" spans="1:16" x14ac:dyDescent="0.25">
      <c r="A195" s="1">
        <v>152</v>
      </c>
      <c r="B195" s="47">
        <v>45593</v>
      </c>
      <c r="C195" s="10" t="s">
        <v>94</v>
      </c>
      <c r="D195" s="137">
        <v>56.3</v>
      </c>
      <c r="E195" s="39">
        <v>0.54320000000000002</v>
      </c>
      <c r="F195" s="39">
        <v>0.54420000000000002</v>
      </c>
      <c r="G195" s="28"/>
      <c r="H195" s="16">
        <f>F195-E195</f>
        <v>1.0000000000000009E-3</v>
      </c>
      <c r="I195" s="19"/>
      <c r="J195" s="16">
        <f t="shared" si="27"/>
        <v>0.3428424379313979</v>
      </c>
      <c r="K195" s="19">
        <f>H195+I195+J195</f>
        <v>0.3438424379313979</v>
      </c>
      <c r="M195" s="13" t="s">
        <v>69</v>
      </c>
      <c r="N195" s="12"/>
    </row>
    <row r="196" spans="1:16" x14ac:dyDescent="0.25">
      <c r="A196" s="1">
        <v>153</v>
      </c>
      <c r="B196" s="47">
        <v>45594</v>
      </c>
      <c r="C196" s="10" t="s">
        <v>92</v>
      </c>
      <c r="D196" s="137">
        <v>56.9</v>
      </c>
      <c r="E196" s="39">
        <v>0.69599999999999995</v>
      </c>
      <c r="F196" s="39">
        <v>0.69750000000000001</v>
      </c>
      <c r="G196" s="28"/>
      <c r="H196" s="16">
        <f>F196-E196</f>
        <v>1.5000000000000568E-3</v>
      </c>
      <c r="I196" s="19"/>
      <c r="J196" s="16">
        <f t="shared" si="27"/>
        <v>0.34649617616867751</v>
      </c>
      <c r="K196" s="19">
        <f t="shared" si="22"/>
        <v>0.34799617616867756</v>
      </c>
      <c r="M196" s="13" t="s">
        <v>69</v>
      </c>
      <c r="N196" s="12"/>
    </row>
    <row r="197" spans="1:16" x14ac:dyDescent="0.25">
      <c r="A197" s="1">
        <v>154</v>
      </c>
      <c r="B197" s="47">
        <v>46000</v>
      </c>
      <c r="C197" s="66">
        <v>34242305</v>
      </c>
      <c r="D197" s="137">
        <v>85.7</v>
      </c>
      <c r="E197" s="5">
        <v>30.445</v>
      </c>
      <c r="F197" s="5">
        <v>30.452000000000002</v>
      </c>
      <c r="G197" s="28">
        <f>F197-E197</f>
        <v>7.0000000000014495E-3</v>
      </c>
      <c r="H197" s="16">
        <f t="shared" si="25"/>
        <v>6.0186000000012462E-3</v>
      </c>
      <c r="I197" s="16"/>
      <c r="J197" s="16">
        <f t="shared" si="27"/>
        <v>0.52187561155809603</v>
      </c>
      <c r="K197" s="19">
        <f t="shared" si="22"/>
        <v>0.52789421155809724</v>
      </c>
      <c r="M197" s="13" t="s">
        <v>69</v>
      </c>
      <c r="N197" s="12"/>
      <c r="O197" s="12"/>
      <c r="P197" s="12"/>
    </row>
    <row r="198" spans="1:16" x14ac:dyDescent="0.25">
      <c r="A198" s="1">
        <v>155</v>
      </c>
      <c r="B198" s="33"/>
      <c r="C198" s="66">
        <v>34242323</v>
      </c>
      <c r="D198" s="137">
        <v>84.9</v>
      </c>
      <c r="E198" s="5">
        <v>55.604999999999997</v>
      </c>
      <c r="F198" s="5">
        <v>56.066000000000003</v>
      </c>
      <c r="G198" s="28"/>
      <c r="H198" s="16">
        <f t="shared" si="25"/>
        <v>0</v>
      </c>
      <c r="I198" s="16">
        <f>((D198*0.015)*12)/7</f>
        <v>2.1831428571428573</v>
      </c>
      <c r="J198" s="16"/>
      <c r="K198" s="19">
        <f t="shared" si="22"/>
        <v>2.1831428571428573</v>
      </c>
      <c r="M198" s="13" t="s">
        <v>71</v>
      </c>
      <c r="N198" s="12"/>
    </row>
    <row r="199" spans="1:16" x14ac:dyDescent="0.25">
      <c r="A199" s="1">
        <v>156</v>
      </c>
      <c r="B199" s="47">
        <v>46045</v>
      </c>
      <c r="C199" s="66">
        <v>34242320</v>
      </c>
      <c r="D199" s="137">
        <v>56.8</v>
      </c>
      <c r="E199" s="5">
        <v>42.776000000000003</v>
      </c>
      <c r="F199" s="5">
        <v>42.902000000000001</v>
      </c>
      <c r="G199" s="28">
        <f>F199-E199</f>
        <v>0.12599999999999767</v>
      </c>
      <c r="H199" s="16">
        <f t="shared" si="25"/>
        <v>0.108334799999998</v>
      </c>
      <c r="I199" s="16"/>
      <c r="J199" s="16">
        <f>D199/($E$25-$E$26)*$J$24</f>
        <v>0.34588721979579756</v>
      </c>
      <c r="K199" s="19">
        <f t="shared" si="22"/>
        <v>0.45422201979579557</v>
      </c>
      <c r="M199" s="13" t="s">
        <v>69</v>
      </c>
      <c r="N199" s="12"/>
    </row>
    <row r="200" spans="1:16" x14ac:dyDescent="0.25">
      <c r="A200" s="1">
        <v>157</v>
      </c>
      <c r="B200" s="47">
        <v>45934</v>
      </c>
      <c r="C200" s="66">
        <v>34242321</v>
      </c>
      <c r="D200" s="137">
        <v>57.1</v>
      </c>
      <c r="E200" s="5">
        <v>40.902999999999999</v>
      </c>
      <c r="F200" s="5">
        <v>41.704000000000001</v>
      </c>
      <c r="G200" s="28">
        <f>F200-E200</f>
        <v>0.80100000000000193</v>
      </c>
      <c r="H200" s="16">
        <f t="shared" si="25"/>
        <v>0.68869980000000164</v>
      </c>
      <c r="I200" s="19"/>
      <c r="J200" s="16">
        <f>D200/($E$25-$E$26)*$J$24</f>
        <v>0.34771408891443739</v>
      </c>
      <c r="K200" s="19">
        <f t="shared" si="22"/>
        <v>1.036413888914439</v>
      </c>
      <c r="M200" s="13" t="s">
        <v>69</v>
      </c>
      <c r="N200" s="12"/>
    </row>
    <row r="201" spans="1:16" x14ac:dyDescent="0.25">
      <c r="A201" s="1">
        <v>158</v>
      </c>
      <c r="B201" s="33"/>
      <c r="C201" s="66">
        <v>34242304</v>
      </c>
      <c r="D201" s="137">
        <v>85.5</v>
      </c>
      <c r="E201" s="5">
        <v>49.14</v>
      </c>
      <c r="F201" s="5">
        <v>49.56</v>
      </c>
      <c r="G201" s="28"/>
      <c r="H201" s="16">
        <f t="shared" si="25"/>
        <v>0</v>
      </c>
      <c r="I201" s="16">
        <f>((D201*0.015)*12)/7</f>
        <v>2.1985714285714288</v>
      </c>
      <c r="J201" s="16"/>
      <c r="K201" s="19">
        <f t="shared" si="22"/>
        <v>2.1985714285714288</v>
      </c>
      <c r="M201" s="13" t="s">
        <v>71</v>
      </c>
      <c r="N201" s="12"/>
      <c r="O201" s="12"/>
    </row>
    <row r="202" spans="1:16" x14ac:dyDescent="0.25">
      <c r="A202" s="1">
        <v>159</v>
      </c>
      <c r="B202" s="47">
        <v>45907</v>
      </c>
      <c r="C202" s="66">
        <v>34242308</v>
      </c>
      <c r="D202" s="137">
        <v>84.6</v>
      </c>
      <c r="E202" s="74">
        <f>45.304+0.635</f>
        <v>45.939</v>
      </c>
      <c r="F202" s="74">
        <v>46.273000000000003</v>
      </c>
      <c r="G202" s="28">
        <f>F202-E202</f>
        <v>0.33400000000000318</v>
      </c>
      <c r="H202" s="16">
        <f t="shared" si="25"/>
        <v>0.28717320000000274</v>
      </c>
      <c r="I202" s="16"/>
      <c r="J202" s="16">
        <f>D202/($E$25-$E$26)*$J$24</f>
        <v>0.51517709145641677</v>
      </c>
      <c r="K202" s="19">
        <f t="shared" si="22"/>
        <v>0.80235029145641956</v>
      </c>
      <c r="M202" s="13" t="s">
        <v>69</v>
      </c>
      <c r="N202" s="12"/>
    </row>
    <row r="203" spans="1:16" x14ac:dyDescent="0.25">
      <c r="A203" s="1">
        <v>160</v>
      </c>
      <c r="B203" s="47">
        <v>45753</v>
      </c>
      <c r="C203" s="66">
        <v>34242307</v>
      </c>
      <c r="D203" s="137">
        <v>56.3</v>
      </c>
      <c r="E203" s="5">
        <f>6.5+0.422</f>
        <v>6.9219999999999997</v>
      </c>
      <c r="F203" s="5">
        <v>6.5410000000000004</v>
      </c>
      <c r="G203" s="28">
        <f>F203-E203</f>
        <v>-0.38099999999999934</v>
      </c>
      <c r="H203" s="16">
        <f t="shared" si="25"/>
        <v>-0.32758379999999943</v>
      </c>
      <c r="I203" s="16"/>
      <c r="J203" s="16">
        <f>D203/($E$25-$E$26)*$J$24</f>
        <v>0.3428424379313979</v>
      </c>
      <c r="K203" s="19">
        <f t="shared" si="22"/>
        <v>1.5258637931398478E-2</v>
      </c>
      <c r="M203" s="13" t="s">
        <v>69</v>
      </c>
      <c r="N203" s="12"/>
    </row>
    <row r="204" spans="1:16" x14ac:dyDescent="0.25">
      <c r="A204" s="1">
        <v>161</v>
      </c>
      <c r="B204" s="47">
        <v>45934</v>
      </c>
      <c r="C204" s="66">
        <v>34242312</v>
      </c>
      <c r="D204" s="137">
        <v>56.8</v>
      </c>
      <c r="E204" s="5">
        <v>10.661</v>
      </c>
      <c r="F204" s="5">
        <v>10.661</v>
      </c>
      <c r="G204" s="28">
        <f>F204-E204</f>
        <v>0</v>
      </c>
      <c r="H204" s="16">
        <f t="shared" si="25"/>
        <v>0</v>
      </c>
      <c r="I204" s="16"/>
      <c r="J204" s="16">
        <f>D204/($E$25-$E$26)*$J$24</f>
        <v>0.34588721979579756</v>
      </c>
      <c r="K204" s="19">
        <f t="shared" si="22"/>
        <v>0.34588721979579756</v>
      </c>
      <c r="M204" s="13" t="s">
        <v>69</v>
      </c>
      <c r="N204" s="12"/>
    </row>
    <row r="205" spans="1:16" x14ac:dyDescent="0.25">
      <c r="A205" s="1">
        <v>162</v>
      </c>
      <c r="B205" s="33"/>
      <c r="C205" s="66">
        <v>34242309</v>
      </c>
      <c r="D205" s="137">
        <v>85.2</v>
      </c>
      <c r="E205" s="5">
        <v>30.791</v>
      </c>
      <c r="F205" s="5">
        <v>30.791</v>
      </c>
      <c r="G205" s="28"/>
      <c r="H205" s="16">
        <f t="shared" si="25"/>
        <v>0</v>
      </c>
      <c r="I205" s="16">
        <f>((D205*0.015)*12)/7</f>
        <v>2.1908571428571428</v>
      </c>
      <c r="J205" s="16"/>
      <c r="K205" s="19">
        <f t="shared" si="22"/>
        <v>2.1908571428571428</v>
      </c>
      <c r="M205" s="13" t="s">
        <v>71</v>
      </c>
      <c r="N205" s="12"/>
      <c r="O205" s="12"/>
    </row>
    <row r="206" spans="1:16" x14ac:dyDescent="0.25">
      <c r="A206" s="1">
        <v>163</v>
      </c>
      <c r="B206" s="47">
        <v>45704</v>
      </c>
      <c r="C206" s="66">
        <v>34242188</v>
      </c>
      <c r="D206" s="137">
        <v>84.4</v>
      </c>
      <c r="E206" s="5">
        <v>5.327</v>
      </c>
      <c r="F206" s="5">
        <v>5.327</v>
      </c>
      <c r="G206" s="28">
        <f>F206-E206</f>
        <v>0</v>
      </c>
      <c r="H206" s="16">
        <f>G206*0.8598</f>
        <v>0</v>
      </c>
      <c r="I206" s="16"/>
      <c r="J206" s="16">
        <f>D206/($E$25-$E$26)*$J$24</f>
        <v>0.51395917871065699</v>
      </c>
      <c r="K206" s="19">
        <f t="shared" si="22"/>
        <v>0.51395917871065699</v>
      </c>
      <c r="M206" s="13" t="s">
        <v>69</v>
      </c>
      <c r="N206" s="12"/>
    </row>
    <row r="207" spans="1:16" x14ac:dyDescent="0.25">
      <c r="A207" s="1">
        <v>164</v>
      </c>
      <c r="B207" s="47">
        <v>45748</v>
      </c>
      <c r="C207" s="66">
        <v>34242185</v>
      </c>
      <c r="D207" s="137">
        <v>55.9</v>
      </c>
      <c r="E207" s="5">
        <v>22.847000000000001</v>
      </c>
      <c r="F207" s="5">
        <v>23.04</v>
      </c>
      <c r="G207" s="28">
        <f>F207-E207</f>
        <v>0.19299999999999784</v>
      </c>
      <c r="H207" s="16">
        <f>G207*0.8598</f>
        <v>0.16594139999999816</v>
      </c>
      <c r="I207" s="19"/>
      <c r="J207" s="16">
        <f>D207/($E$25-$E$26)*$J$24</f>
        <v>0.34040661243987824</v>
      </c>
      <c r="K207" s="19">
        <f>H207+I207+J207</f>
        <v>0.50634801243987637</v>
      </c>
      <c r="M207" s="13" t="s">
        <v>69</v>
      </c>
      <c r="N207" s="12"/>
    </row>
    <row r="208" spans="1:16" x14ac:dyDescent="0.25">
      <c r="A208" s="1">
        <v>165</v>
      </c>
      <c r="B208" s="47">
        <v>45748</v>
      </c>
      <c r="C208" s="66">
        <v>43441088</v>
      </c>
      <c r="D208" s="137">
        <v>56.7</v>
      </c>
      <c r="E208" s="5">
        <v>21.989000000000001</v>
      </c>
      <c r="F208" s="5">
        <v>22.542999999999999</v>
      </c>
      <c r="G208" s="28">
        <f>F208-E208</f>
        <v>0.55399999999999849</v>
      </c>
      <c r="H208" s="16">
        <f t="shared" si="25"/>
        <v>0.47632919999999873</v>
      </c>
      <c r="I208" s="19"/>
      <c r="J208" s="16">
        <f>D208/($E$25-$E$26)*$J$24</f>
        <v>0.34527826342291768</v>
      </c>
      <c r="K208" s="19">
        <f t="shared" si="22"/>
        <v>0.82160746342291646</v>
      </c>
      <c r="M208" s="13" t="s">
        <v>69</v>
      </c>
      <c r="N208" s="12"/>
    </row>
    <row r="209" spans="1:15" x14ac:dyDescent="0.25">
      <c r="A209" s="1">
        <v>166</v>
      </c>
      <c r="B209" s="47">
        <v>45795</v>
      </c>
      <c r="C209" s="66">
        <v>34242310</v>
      </c>
      <c r="D209" s="137">
        <v>85.2</v>
      </c>
      <c r="E209" s="5">
        <v>36.799999999999997</v>
      </c>
      <c r="F209" s="5">
        <v>36.799999999999997</v>
      </c>
      <c r="G209" s="28">
        <f>F209-E209</f>
        <v>0</v>
      </c>
      <c r="H209" s="16">
        <f>G209*0.8598</f>
        <v>0</v>
      </c>
      <c r="I209" s="19"/>
      <c r="J209" s="16">
        <f>D209/($E$25-$E$26)*$J$24</f>
        <v>0.51883082969369632</v>
      </c>
      <c r="K209" s="19">
        <f t="shared" si="22"/>
        <v>0.51883082969369632</v>
      </c>
      <c r="M209" s="13" t="s">
        <v>69</v>
      </c>
      <c r="N209" s="12"/>
    </row>
    <row r="210" spans="1:15" x14ac:dyDescent="0.25">
      <c r="A210" s="1">
        <v>167</v>
      </c>
      <c r="B210" s="33"/>
      <c r="C210" s="66">
        <v>34242187</v>
      </c>
      <c r="D210" s="137">
        <v>84.9</v>
      </c>
      <c r="E210" s="5">
        <v>60.045000000000002</v>
      </c>
      <c r="F210" s="5">
        <v>61.776000000000003</v>
      </c>
      <c r="G210" s="28"/>
      <c r="H210" s="16">
        <f t="shared" si="25"/>
        <v>0</v>
      </c>
      <c r="I210" s="16">
        <f>((D210*0.015)*12)/7</f>
        <v>2.1831428571428573</v>
      </c>
      <c r="J210" s="16"/>
      <c r="K210" s="19">
        <f t="shared" si="22"/>
        <v>2.1831428571428573</v>
      </c>
      <c r="M210" s="13" t="s">
        <v>71</v>
      </c>
      <c r="N210" s="12"/>
      <c r="O210" s="12"/>
    </row>
    <row r="211" spans="1:15" x14ac:dyDescent="0.25">
      <c r="A211" s="1">
        <v>168</v>
      </c>
      <c r="B211" s="33"/>
      <c r="C211" s="66">
        <v>34242189</v>
      </c>
      <c r="D211" s="137">
        <v>56.4</v>
      </c>
      <c r="E211" s="5">
        <v>5.01</v>
      </c>
      <c r="F211" s="5">
        <v>5.01</v>
      </c>
      <c r="G211" s="28"/>
      <c r="H211" s="16">
        <f t="shared" si="25"/>
        <v>0</v>
      </c>
      <c r="I211" s="16">
        <f>((D211*0.015)*12)/7</f>
        <v>1.4502857142857142</v>
      </c>
      <c r="J211" s="16"/>
      <c r="K211" s="19">
        <f t="shared" si="22"/>
        <v>1.4502857142857142</v>
      </c>
      <c r="M211" s="13" t="s">
        <v>71</v>
      </c>
      <c r="N211" s="12"/>
      <c r="O211" s="12"/>
    </row>
    <row r="212" spans="1:15" x14ac:dyDescent="0.25">
      <c r="A212" s="1">
        <v>169</v>
      </c>
      <c r="B212" s="47">
        <v>46000</v>
      </c>
      <c r="C212" s="66">
        <v>34242191</v>
      </c>
      <c r="D212" s="137">
        <v>57</v>
      </c>
      <c r="E212" s="5">
        <v>27.5</v>
      </c>
      <c r="F212" s="5">
        <v>27.504000000000001</v>
      </c>
      <c r="G212" s="28">
        <f>F212-E212</f>
        <v>4.0000000000013358E-3</v>
      </c>
      <c r="H212" s="16">
        <f t="shared" si="25"/>
        <v>3.4392000000011487E-3</v>
      </c>
      <c r="I212" s="16"/>
      <c r="J212" s="16">
        <f>D212/($E$25-$E$26)*$J$24</f>
        <v>0.34710513254155739</v>
      </c>
      <c r="K212" s="19">
        <f t="shared" si="22"/>
        <v>0.35054433254155853</v>
      </c>
      <c r="M212" s="13" t="s">
        <v>69</v>
      </c>
      <c r="N212" s="12"/>
      <c r="O212" s="12"/>
    </row>
    <row r="213" spans="1:15" x14ac:dyDescent="0.25">
      <c r="A213" s="1">
        <v>170</v>
      </c>
      <c r="B213" s="47">
        <v>45608</v>
      </c>
      <c r="C213" s="66">
        <v>34242190</v>
      </c>
      <c r="D213" s="137">
        <v>85.3</v>
      </c>
      <c r="E213" s="5">
        <v>44.064</v>
      </c>
      <c r="F213" s="5">
        <v>44.521000000000001</v>
      </c>
      <c r="G213" s="28">
        <f>F213-E213</f>
        <v>0.45700000000000074</v>
      </c>
      <c r="H213" s="16">
        <f t="shared" si="25"/>
        <v>0.39292860000000063</v>
      </c>
      <c r="I213" s="19"/>
      <c r="J213" s="16">
        <f>D213/($E$25-$E$26)*$J$24</f>
        <v>0.51943978606657626</v>
      </c>
      <c r="K213" s="19">
        <f t="shared" si="22"/>
        <v>0.91236838606657689</v>
      </c>
      <c r="M213" s="13" t="s">
        <v>69</v>
      </c>
      <c r="N213" s="12"/>
    </row>
    <row r="214" spans="1:15" x14ac:dyDescent="0.25">
      <c r="A214" s="1">
        <v>171</v>
      </c>
      <c r="B214" s="47">
        <v>45866</v>
      </c>
      <c r="C214" s="66">
        <v>34242184</v>
      </c>
      <c r="D214" s="137">
        <v>84.3</v>
      </c>
      <c r="E214" s="5">
        <v>7.931</v>
      </c>
      <c r="F214" s="5">
        <v>7.931</v>
      </c>
      <c r="G214" s="28">
        <f>F214-E214</f>
        <v>0</v>
      </c>
      <c r="H214" s="16">
        <f t="shared" si="25"/>
        <v>0</v>
      </c>
      <c r="I214" s="16"/>
      <c r="J214" s="16">
        <f>D214/($E$25-$E$26)*$J$24</f>
        <v>0.51335022233777705</v>
      </c>
      <c r="K214" s="19">
        <f t="shared" si="22"/>
        <v>0.51335022233777705</v>
      </c>
      <c r="M214" s="13" t="s">
        <v>69</v>
      </c>
      <c r="N214" s="12"/>
    </row>
    <row r="215" spans="1:15" x14ac:dyDescent="0.25">
      <c r="A215" s="1">
        <v>172</v>
      </c>
      <c r="B215" s="47">
        <v>45553</v>
      </c>
      <c r="C215" s="10" t="s">
        <v>88</v>
      </c>
      <c r="D215" s="137">
        <v>56.4</v>
      </c>
      <c r="E215" s="39">
        <v>1.4570000000000001</v>
      </c>
      <c r="F215" s="39">
        <v>1.4670000000000001</v>
      </c>
      <c r="G215" s="28"/>
      <c r="H215" s="16">
        <f>F215-E215</f>
        <v>1.0000000000000009E-2</v>
      </c>
      <c r="I215" s="19"/>
      <c r="J215" s="16">
        <f>D215/($E$25-$E$26)*$J$24</f>
        <v>0.3434513943042779</v>
      </c>
      <c r="K215" s="19">
        <f t="shared" si="22"/>
        <v>0.35345139430427791</v>
      </c>
      <c r="M215" s="13" t="s">
        <v>69</v>
      </c>
      <c r="N215" s="12"/>
    </row>
    <row r="216" spans="1:15" x14ac:dyDescent="0.25">
      <c r="A216" s="1">
        <v>173</v>
      </c>
      <c r="B216" s="33"/>
      <c r="C216" s="66">
        <v>34242186</v>
      </c>
      <c r="D216" s="137">
        <v>56.9</v>
      </c>
      <c r="E216" s="5">
        <v>31.132999999999999</v>
      </c>
      <c r="F216" s="5">
        <v>31.58</v>
      </c>
      <c r="G216" s="28"/>
      <c r="H216" s="16">
        <f t="shared" ref="H216:H238" si="28">G216*0.8598</f>
        <v>0</v>
      </c>
      <c r="I216" s="16">
        <f>((D216*0.015)*12)/7</f>
        <v>1.4631428571428571</v>
      </c>
      <c r="J216" s="16"/>
      <c r="K216" s="19">
        <f t="shared" si="22"/>
        <v>1.4631428571428571</v>
      </c>
      <c r="M216" s="13" t="s">
        <v>71</v>
      </c>
      <c r="N216" s="12"/>
    </row>
    <row r="217" spans="1:15" x14ac:dyDescent="0.25">
      <c r="A217" s="1">
        <v>174</v>
      </c>
      <c r="B217" s="47">
        <v>45671</v>
      </c>
      <c r="C217" s="66">
        <v>34242183</v>
      </c>
      <c r="D217" s="137">
        <v>85.9</v>
      </c>
      <c r="E217" s="5">
        <v>36.616</v>
      </c>
      <c r="F217" s="5">
        <v>36.847000000000001</v>
      </c>
      <c r="G217" s="28">
        <f>F217-E217</f>
        <v>0.23100000000000165</v>
      </c>
      <c r="H217" s="16">
        <f t="shared" si="28"/>
        <v>0.19861380000000142</v>
      </c>
      <c r="I217" s="19"/>
      <c r="J217" s="16">
        <f>D217/($E$25-$E$26)*$J$24</f>
        <v>0.52309352430385592</v>
      </c>
      <c r="K217" s="19">
        <f t="shared" si="22"/>
        <v>0.72170732430385731</v>
      </c>
      <c r="M217" s="13" t="s">
        <v>69</v>
      </c>
      <c r="N217" s="12"/>
    </row>
    <row r="218" spans="1:15" x14ac:dyDescent="0.25">
      <c r="A218" s="1">
        <v>175</v>
      </c>
      <c r="B218" s="47">
        <v>45940</v>
      </c>
      <c r="C218" s="66">
        <v>34242196</v>
      </c>
      <c r="D218" s="137">
        <v>84.5</v>
      </c>
      <c r="E218" s="5">
        <v>36.253999999999998</v>
      </c>
      <c r="F218" s="5">
        <v>36.627000000000002</v>
      </c>
      <c r="G218" s="28">
        <f>F218-E218</f>
        <v>0.37300000000000466</v>
      </c>
      <c r="H218" s="16">
        <f t="shared" si="28"/>
        <v>0.32070540000000403</v>
      </c>
      <c r="I218" s="16"/>
      <c r="J218" s="16">
        <f>D218/($E$25-$E$26)*$J$24</f>
        <v>0.51456813508353694</v>
      </c>
      <c r="K218" s="19">
        <f t="shared" si="22"/>
        <v>0.83527353508354096</v>
      </c>
      <c r="M218" s="13" t="s">
        <v>69</v>
      </c>
      <c r="N218" s="12"/>
    </row>
    <row r="219" spans="1:15" x14ac:dyDescent="0.25">
      <c r="A219" s="1">
        <v>176</v>
      </c>
      <c r="B219" s="47">
        <v>45748</v>
      </c>
      <c r="C219" s="66">
        <v>34242199</v>
      </c>
      <c r="D219" s="137">
        <v>56.5</v>
      </c>
      <c r="E219" s="5">
        <v>20.254999999999999</v>
      </c>
      <c r="F219" s="5">
        <v>19.855</v>
      </c>
      <c r="G219" s="28">
        <f>F219-E219</f>
        <v>-0.39999999999999858</v>
      </c>
      <c r="H219" s="16">
        <f t="shared" si="28"/>
        <v>-0.34391999999999878</v>
      </c>
      <c r="I219" s="16"/>
      <c r="J219" s="16">
        <f>D219/($E$25-$E$26)*$J$24</f>
        <v>0.34406035067715779</v>
      </c>
      <c r="K219" s="19">
        <f t="shared" si="22"/>
        <v>1.4035067715900684E-4</v>
      </c>
      <c r="M219" s="13" t="s">
        <v>69</v>
      </c>
      <c r="N219" s="12"/>
    </row>
    <row r="220" spans="1:15" x14ac:dyDescent="0.25">
      <c r="A220" s="1">
        <v>177</v>
      </c>
      <c r="B220" s="47">
        <v>45803</v>
      </c>
      <c r="C220" s="66">
        <v>34242192</v>
      </c>
      <c r="D220" s="137">
        <v>57</v>
      </c>
      <c r="E220" s="5">
        <v>17.73</v>
      </c>
      <c r="F220" s="5">
        <v>17.718</v>
      </c>
      <c r="G220" s="28">
        <f>F220-E220</f>
        <v>-1.2000000000000455E-2</v>
      </c>
      <c r="H220" s="16">
        <f t="shared" si="28"/>
        <v>-1.0317600000000392E-2</v>
      </c>
      <c r="I220" s="16"/>
      <c r="J220" s="16">
        <f>D220/($E$25-$E$26)*$J$24</f>
        <v>0.34710513254155739</v>
      </c>
      <c r="K220" s="19">
        <f t="shared" si="22"/>
        <v>0.33678753254155702</v>
      </c>
      <c r="M220" s="13" t="s">
        <v>69</v>
      </c>
      <c r="N220" s="12"/>
    </row>
    <row r="221" spans="1:15" x14ac:dyDescent="0.25">
      <c r="A221" s="1">
        <v>178</v>
      </c>
      <c r="B221" s="33"/>
      <c r="C221" s="66">
        <v>34242198</v>
      </c>
      <c r="D221" s="137">
        <v>85.8</v>
      </c>
      <c r="E221" s="5">
        <v>35.417000000000002</v>
      </c>
      <c r="F221" s="5">
        <v>37.365000000000002</v>
      </c>
      <c r="G221" s="28"/>
      <c r="H221" s="16">
        <f t="shared" si="28"/>
        <v>0</v>
      </c>
      <c r="I221" s="16">
        <f>((D221*0.015)*12)/7</f>
        <v>2.206285714285714</v>
      </c>
      <c r="J221" s="16"/>
      <c r="K221" s="19">
        <f t="shared" si="22"/>
        <v>2.206285714285714</v>
      </c>
      <c r="M221" s="13" t="s">
        <v>71</v>
      </c>
      <c r="N221" s="12"/>
    </row>
    <row r="222" spans="1:15" x14ac:dyDescent="0.25">
      <c r="A222" s="1">
        <v>179</v>
      </c>
      <c r="B222" s="47">
        <v>45802</v>
      </c>
      <c r="C222" s="66">
        <v>34242200</v>
      </c>
      <c r="D222" s="137">
        <v>84.7</v>
      </c>
      <c r="E222" s="5">
        <v>66.966999999999999</v>
      </c>
      <c r="F222" s="5">
        <v>67.864999999999995</v>
      </c>
      <c r="G222" s="28">
        <f>F222-E222</f>
        <v>0.89799999999999613</v>
      </c>
      <c r="H222" s="16">
        <f t="shared" si="28"/>
        <v>0.77210039999999669</v>
      </c>
      <c r="I222" s="19"/>
      <c r="J222" s="16">
        <f>D222/($E$25-$E$26)*$J$24</f>
        <v>0.51578604782929671</v>
      </c>
      <c r="K222" s="19">
        <f t="shared" si="22"/>
        <v>1.2878864478292935</v>
      </c>
      <c r="M222" s="13" t="s">
        <v>69</v>
      </c>
      <c r="N222" s="12"/>
    </row>
    <row r="223" spans="1:15" x14ac:dyDescent="0.25">
      <c r="A223" s="1">
        <v>180</v>
      </c>
      <c r="B223" s="33"/>
      <c r="C223" s="66">
        <v>34242197</v>
      </c>
      <c r="D223" s="146">
        <v>55.8</v>
      </c>
      <c r="E223" s="5">
        <v>28.972000000000001</v>
      </c>
      <c r="F223" s="5">
        <v>29.417999999999999</v>
      </c>
      <c r="G223" s="5"/>
      <c r="H223" s="16">
        <f t="shared" si="28"/>
        <v>0</v>
      </c>
      <c r="I223" s="16">
        <f t="shared" ref="I223:I232" si="29">((D223*0.015)*12)/7</f>
        <v>1.4348571428571428</v>
      </c>
      <c r="J223" s="16"/>
      <c r="K223" s="19">
        <f t="shared" si="22"/>
        <v>1.4348571428571428</v>
      </c>
      <c r="M223" s="13" t="s">
        <v>71</v>
      </c>
      <c r="N223" s="12"/>
      <c r="O223" s="12"/>
    </row>
    <row r="224" spans="1:15" x14ac:dyDescent="0.25">
      <c r="A224" s="1">
        <v>181</v>
      </c>
      <c r="B224" s="33"/>
      <c r="C224" s="66">
        <v>34242193</v>
      </c>
      <c r="D224" s="146">
        <v>57</v>
      </c>
      <c r="E224" s="5">
        <v>14.968</v>
      </c>
      <c r="F224" s="5">
        <v>15.263</v>
      </c>
      <c r="G224" s="5"/>
      <c r="H224" s="16">
        <f t="shared" si="28"/>
        <v>0</v>
      </c>
      <c r="I224" s="16">
        <f t="shared" si="29"/>
        <v>1.4657142857142857</v>
      </c>
      <c r="J224" s="16"/>
      <c r="K224" s="19">
        <f t="shared" si="22"/>
        <v>1.4657142857142857</v>
      </c>
      <c r="M224" s="13" t="s">
        <v>71</v>
      </c>
      <c r="N224" s="12"/>
      <c r="O224" s="12"/>
    </row>
    <row r="225" spans="1:15" ht="15.75" thickBot="1" x14ac:dyDescent="0.3">
      <c r="A225" s="15">
        <v>182</v>
      </c>
      <c r="B225" s="35"/>
      <c r="C225" s="68">
        <v>34242194</v>
      </c>
      <c r="D225" s="90">
        <v>85.8</v>
      </c>
      <c r="E225" s="8">
        <v>46.277000000000001</v>
      </c>
      <c r="F225" s="8">
        <v>46.58</v>
      </c>
      <c r="G225" s="8"/>
      <c r="H225" s="91">
        <f t="shared" si="28"/>
        <v>0</v>
      </c>
      <c r="I225" s="16">
        <f t="shared" si="29"/>
        <v>2.206285714285714</v>
      </c>
      <c r="J225" s="16"/>
      <c r="K225" s="19">
        <f t="shared" si="22"/>
        <v>2.206285714285714</v>
      </c>
      <c r="M225" s="13" t="s">
        <v>71</v>
      </c>
      <c r="N225" s="12"/>
      <c r="O225" s="12"/>
    </row>
    <row r="226" spans="1:15" ht="15.75" thickBot="1" x14ac:dyDescent="0.3">
      <c r="A226" s="219" t="s">
        <v>78</v>
      </c>
      <c r="B226" s="220"/>
      <c r="C226" s="220"/>
      <c r="D226" s="92">
        <f>SUM(D174:D225)</f>
        <v>3672.6000000000013</v>
      </c>
      <c r="E226" s="221" t="s">
        <v>79</v>
      </c>
      <c r="F226" s="221"/>
      <c r="G226" s="221"/>
      <c r="H226" s="64">
        <f>SUM(H174:H225)</f>
        <v>7.7171612000000041</v>
      </c>
      <c r="I226" s="64">
        <f>SUM(I174:I225)</f>
        <v>24.783428571428569</v>
      </c>
      <c r="J226" s="64">
        <f>SUM(J174:J225)</f>
        <v>16.495410228571416</v>
      </c>
      <c r="K226" s="93">
        <f>SUM(K174:K225)</f>
        <v>48.995999999999988</v>
      </c>
      <c r="M226" s="13"/>
    </row>
    <row r="227" spans="1:15" x14ac:dyDescent="0.25">
      <c r="A227" s="9">
        <v>183</v>
      </c>
      <c r="B227" s="37"/>
      <c r="C227" s="69">
        <v>34242339</v>
      </c>
      <c r="D227" s="151">
        <v>117.2</v>
      </c>
      <c r="E227" s="6">
        <v>63.238</v>
      </c>
      <c r="F227" s="6">
        <v>64.091999999999999</v>
      </c>
      <c r="G227" s="6"/>
      <c r="H227" s="19">
        <f t="shared" si="28"/>
        <v>0</v>
      </c>
      <c r="I227" s="16">
        <f t="shared" si="29"/>
        <v>3.0137142857142858</v>
      </c>
      <c r="J227" s="16">
        <f>D227/($E$32-$E$34)*$J$31</f>
        <v>-1.4717408151287894</v>
      </c>
      <c r="K227" s="19">
        <f>H227+I227+J227</f>
        <v>1.5419734705854964</v>
      </c>
      <c r="M227" s="13" t="s">
        <v>71</v>
      </c>
    </row>
    <row r="228" spans="1:15" x14ac:dyDescent="0.25">
      <c r="A228" s="1">
        <v>184</v>
      </c>
      <c r="B228" s="33"/>
      <c r="C228" s="66">
        <v>34242341</v>
      </c>
      <c r="D228" s="146">
        <v>58.1</v>
      </c>
      <c r="E228" s="5">
        <v>37.411999999999999</v>
      </c>
      <c r="F228" s="5">
        <v>37.777999999999999</v>
      </c>
      <c r="G228" s="5"/>
      <c r="H228" s="16">
        <f t="shared" si="28"/>
        <v>0</v>
      </c>
      <c r="I228" s="16">
        <f t="shared" si="29"/>
        <v>1.4939999999999998</v>
      </c>
      <c r="J228" s="16">
        <f t="shared" ref="J228:J230" si="30">D228/($E$32-$E$34)*$J$31</f>
        <v>-0.72959164982067115</v>
      </c>
      <c r="K228" s="19">
        <f t="shared" ref="K228:K291" si="31">H228+I228+J228</f>
        <v>0.76440835017932862</v>
      </c>
      <c r="M228" s="13" t="s">
        <v>71</v>
      </c>
    </row>
    <row r="229" spans="1:15" x14ac:dyDescent="0.25">
      <c r="A229" s="1">
        <v>185</v>
      </c>
      <c r="B229" s="33"/>
      <c r="C229" s="66">
        <v>34242160</v>
      </c>
      <c r="D229" s="146">
        <v>58.4</v>
      </c>
      <c r="E229" s="5">
        <v>14.632</v>
      </c>
      <c r="F229" s="5">
        <v>14.632</v>
      </c>
      <c r="G229" s="5"/>
      <c r="H229" s="16">
        <f t="shared" si="28"/>
        <v>0</v>
      </c>
      <c r="I229" s="16">
        <f t="shared" si="29"/>
        <v>1.5017142857142858</v>
      </c>
      <c r="J229" s="16">
        <f t="shared" si="30"/>
        <v>-0.73335890446690533</v>
      </c>
      <c r="K229" s="19">
        <f t="shared" si="31"/>
        <v>0.76835538124738045</v>
      </c>
      <c r="M229" s="13" t="s">
        <v>71</v>
      </c>
    </row>
    <row r="230" spans="1:15" x14ac:dyDescent="0.25">
      <c r="A230" s="1">
        <v>186</v>
      </c>
      <c r="B230" s="33"/>
      <c r="C230" s="66">
        <v>43441091</v>
      </c>
      <c r="D230" s="146">
        <v>46.7</v>
      </c>
      <c r="E230" s="5">
        <v>36.917000000000002</v>
      </c>
      <c r="F230" s="5">
        <v>37.762999999999998</v>
      </c>
      <c r="G230" s="5"/>
      <c r="H230" s="16">
        <f t="shared" si="28"/>
        <v>0</v>
      </c>
      <c r="I230" s="16">
        <f t="shared" si="29"/>
        <v>1.2008571428571428</v>
      </c>
      <c r="J230" s="16">
        <f t="shared" si="30"/>
        <v>-0.58643597326377528</v>
      </c>
      <c r="K230" s="19">
        <f t="shared" si="31"/>
        <v>0.61442116959336757</v>
      </c>
      <c r="M230" s="13" t="s">
        <v>71</v>
      </c>
    </row>
    <row r="231" spans="1:15" x14ac:dyDescent="0.25">
      <c r="A231" s="1">
        <v>187</v>
      </c>
      <c r="B231" s="47">
        <v>45654</v>
      </c>
      <c r="C231" s="66">
        <v>34242342</v>
      </c>
      <c r="D231" s="146">
        <v>77.400000000000006</v>
      </c>
      <c r="E231" s="5">
        <v>51.402999999999999</v>
      </c>
      <c r="F231" s="5">
        <v>51.524000000000001</v>
      </c>
      <c r="G231" s="5">
        <f>F231-E231</f>
        <v>0.12100000000000222</v>
      </c>
      <c r="H231" s="16">
        <f>G231*0.8598</f>
        <v>0.10403580000000191</v>
      </c>
      <c r="I231" s="19"/>
      <c r="J231" s="16"/>
      <c r="K231" s="19">
        <f t="shared" si="31"/>
        <v>0.10403580000000191</v>
      </c>
      <c r="M231" s="13" t="s">
        <v>69</v>
      </c>
    </row>
    <row r="232" spans="1:15" x14ac:dyDescent="0.25">
      <c r="A232" s="1">
        <v>188</v>
      </c>
      <c r="B232" s="34"/>
      <c r="C232" s="66">
        <v>34242334</v>
      </c>
      <c r="D232" s="146">
        <v>117.2</v>
      </c>
      <c r="E232" s="5">
        <v>46.079000000000001</v>
      </c>
      <c r="F232" s="5">
        <v>47.185000000000002</v>
      </c>
      <c r="G232" s="5"/>
      <c r="H232" s="16">
        <f t="shared" si="28"/>
        <v>0</v>
      </c>
      <c r="I232" s="16">
        <f t="shared" si="29"/>
        <v>3.0137142857142858</v>
      </c>
      <c r="J232" s="16">
        <f>D232/($E$32-$E$34)*$J$31</f>
        <v>-1.4717408151287894</v>
      </c>
      <c r="K232" s="19">
        <f t="shared" si="31"/>
        <v>1.5419734705854964</v>
      </c>
      <c r="M232" s="13" t="s">
        <v>71</v>
      </c>
    </row>
    <row r="233" spans="1:15" x14ac:dyDescent="0.25">
      <c r="A233" s="1">
        <v>189</v>
      </c>
      <c r="B233" s="47">
        <v>45566</v>
      </c>
      <c r="C233" s="49" t="s">
        <v>89</v>
      </c>
      <c r="D233" s="146">
        <v>58.7</v>
      </c>
      <c r="E233" s="39">
        <v>6.9048999999999996</v>
      </c>
      <c r="F233" s="39">
        <v>7.3536999999999999</v>
      </c>
      <c r="G233" s="5"/>
      <c r="H233" s="16">
        <f>F233-E233</f>
        <v>0.44880000000000031</v>
      </c>
      <c r="I233" s="19"/>
      <c r="J233" s="16"/>
      <c r="K233" s="19">
        <f t="shared" si="31"/>
        <v>0.44880000000000031</v>
      </c>
      <c r="M233" s="13" t="s">
        <v>69</v>
      </c>
    </row>
    <row r="234" spans="1:15" x14ac:dyDescent="0.25">
      <c r="A234" s="1">
        <v>190</v>
      </c>
      <c r="B234" s="48">
        <v>45704</v>
      </c>
      <c r="C234" s="66">
        <v>34242340</v>
      </c>
      <c r="D234" s="146">
        <v>58.2</v>
      </c>
      <c r="E234" s="5">
        <v>38.774000000000001</v>
      </c>
      <c r="F234" s="5">
        <v>39.511000000000003</v>
      </c>
      <c r="G234" s="5">
        <f>F234-E234</f>
        <v>0.73700000000000188</v>
      </c>
      <c r="H234" s="16">
        <f t="shared" si="28"/>
        <v>0.63367260000000158</v>
      </c>
      <c r="I234" s="19"/>
      <c r="J234" s="16"/>
      <c r="K234" s="19">
        <f t="shared" si="31"/>
        <v>0.63367260000000158</v>
      </c>
      <c r="M234" s="13" t="s">
        <v>69</v>
      </c>
    </row>
    <row r="235" spans="1:15" x14ac:dyDescent="0.25">
      <c r="A235" s="1">
        <v>191</v>
      </c>
      <c r="B235" s="47">
        <v>45668</v>
      </c>
      <c r="C235" s="10" t="s">
        <v>93</v>
      </c>
      <c r="D235" s="146">
        <v>46.6</v>
      </c>
      <c r="E235" s="5">
        <v>0.24199999999999999</v>
      </c>
      <c r="F235" s="5">
        <v>0.24199999999999999</v>
      </c>
      <c r="G235" s="58"/>
      <c r="H235" s="16">
        <f>F235-E235</f>
        <v>0</v>
      </c>
      <c r="I235" s="16"/>
      <c r="J235" s="16"/>
      <c r="K235" s="19">
        <f>H235+I235+J235</f>
        <v>0</v>
      </c>
      <c r="M235" s="13" t="s">
        <v>69</v>
      </c>
    </row>
    <row r="236" spans="1:15" x14ac:dyDescent="0.25">
      <c r="A236" s="1">
        <v>192</v>
      </c>
      <c r="B236" s="33" t="s">
        <v>59</v>
      </c>
      <c r="C236" s="10" t="s">
        <v>80</v>
      </c>
      <c r="D236" s="146">
        <v>77.3</v>
      </c>
      <c r="E236" s="166">
        <v>3.0409999999999999</v>
      </c>
      <c r="F236" s="166">
        <v>3.097</v>
      </c>
      <c r="G236" s="5"/>
      <c r="H236" s="16">
        <f>F236-E236</f>
        <v>5.600000000000005E-2</v>
      </c>
      <c r="I236" s="19"/>
      <c r="J236" s="16"/>
      <c r="K236" s="19">
        <f>H236+I236+J236</f>
        <v>5.600000000000005E-2</v>
      </c>
      <c r="M236" s="13" t="s">
        <v>69</v>
      </c>
    </row>
    <row r="237" spans="1:15" x14ac:dyDescent="0.25">
      <c r="A237" s="1">
        <v>193</v>
      </c>
      <c r="B237" s="47">
        <v>45741</v>
      </c>
      <c r="C237" s="66">
        <v>34242324</v>
      </c>
      <c r="D237" s="137">
        <v>116.7</v>
      </c>
      <c r="E237" s="5">
        <v>11.222</v>
      </c>
      <c r="F237" s="5">
        <v>11.222</v>
      </c>
      <c r="G237" s="28">
        <f>F237-E237</f>
        <v>0</v>
      </c>
      <c r="H237" s="16">
        <f t="shared" si="28"/>
        <v>0</v>
      </c>
      <c r="I237" s="16"/>
      <c r="J237" s="16"/>
      <c r="K237" s="19">
        <f t="shared" si="31"/>
        <v>0</v>
      </c>
      <c r="M237" s="13" t="s">
        <v>69</v>
      </c>
    </row>
    <row r="238" spans="1:15" x14ac:dyDescent="0.25">
      <c r="A238" s="42">
        <v>194</v>
      </c>
      <c r="B238" s="34"/>
      <c r="C238" s="70">
        <v>34242331</v>
      </c>
      <c r="D238" s="59">
        <v>58</v>
      </c>
      <c r="E238" s="5">
        <v>4.4710000000000001</v>
      </c>
      <c r="F238" s="5">
        <v>4.4710000000000001</v>
      </c>
      <c r="G238" s="28"/>
      <c r="H238" s="16">
        <f t="shared" si="28"/>
        <v>0</v>
      </c>
      <c r="I238" s="16">
        <f>((D238*0.015)*12)/7</f>
        <v>1.4914285714285713</v>
      </c>
      <c r="J238" s="16">
        <f>D238/($E$32-$E$34)*$J$31</f>
        <v>-0.72833589827192646</v>
      </c>
      <c r="K238" s="19">
        <f t="shared" si="31"/>
        <v>0.76309267315664486</v>
      </c>
      <c r="M238" s="13" t="s">
        <v>71</v>
      </c>
    </row>
    <row r="239" spans="1:15" x14ac:dyDescent="0.25">
      <c r="A239" s="1">
        <v>195</v>
      </c>
      <c r="B239" s="47">
        <v>45553</v>
      </c>
      <c r="C239" s="10" t="s">
        <v>98</v>
      </c>
      <c r="D239" s="137">
        <v>58.1</v>
      </c>
      <c r="E239" s="39">
        <v>2.9790000000000001</v>
      </c>
      <c r="F239" s="39">
        <v>2.9790000000000001</v>
      </c>
      <c r="G239" s="28"/>
      <c r="H239" s="16">
        <f>F239-E239</f>
        <v>0</v>
      </c>
      <c r="I239" s="19"/>
      <c r="J239" s="16"/>
      <c r="K239" s="19">
        <f>H239+I239+J239</f>
        <v>0</v>
      </c>
      <c r="M239" s="13" t="s">
        <v>69</v>
      </c>
    </row>
    <row r="240" spans="1:15" x14ac:dyDescent="0.25">
      <c r="A240" s="1">
        <v>196</v>
      </c>
      <c r="B240" s="47">
        <v>45553</v>
      </c>
      <c r="C240" s="10" t="s">
        <v>99</v>
      </c>
      <c r="D240" s="137">
        <v>46.7</v>
      </c>
      <c r="E240" s="39">
        <v>1.776</v>
      </c>
      <c r="F240" s="39">
        <v>1.776</v>
      </c>
      <c r="G240" s="28"/>
      <c r="H240" s="16">
        <f>F240-E240</f>
        <v>0</v>
      </c>
      <c r="I240" s="19"/>
      <c r="J240" s="16"/>
      <c r="K240" s="19">
        <f t="shared" si="31"/>
        <v>0</v>
      </c>
      <c r="L240" s="24"/>
      <c r="M240" s="13" t="s">
        <v>69</v>
      </c>
    </row>
    <row r="241" spans="1:13" x14ac:dyDescent="0.25">
      <c r="A241" s="9">
        <v>197</v>
      </c>
      <c r="B241" s="105">
        <v>45955</v>
      </c>
      <c r="C241" s="69" t="s">
        <v>114</v>
      </c>
      <c r="D241" s="144">
        <v>77.5</v>
      </c>
      <c r="E241" s="39">
        <v>6.1916000000000002</v>
      </c>
      <c r="F241" s="39">
        <v>6.6780999999999997</v>
      </c>
      <c r="G241" s="28"/>
      <c r="H241" s="16">
        <f>F241-E241</f>
        <v>0.48649999999999949</v>
      </c>
      <c r="I241" s="16"/>
      <c r="J241" s="16"/>
      <c r="K241" s="19">
        <f t="shared" si="31"/>
        <v>0.48649999999999949</v>
      </c>
      <c r="L241" s="24"/>
      <c r="M241" s="13" t="s">
        <v>69</v>
      </c>
    </row>
    <row r="242" spans="1:13" x14ac:dyDescent="0.25">
      <c r="A242" s="1">
        <v>198</v>
      </c>
      <c r="B242" s="47">
        <v>45900</v>
      </c>
      <c r="C242" s="66">
        <v>34242333</v>
      </c>
      <c r="D242" s="137">
        <v>116.5</v>
      </c>
      <c r="E242" s="5">
        <v>38.831000000000003</v>
      </c>
      <c r="F242" s="5">
        <v>39.225000000000001</v>
      </c>
      <c r="G242" s="28">
        <f>F242-E242</f>
        <v>0.39399999999999835</v>
      </c>
      <c r="H242" s="16">
        <f t="shared" ref="H242:H263" si="32">G242*0.8598</f>
        <v>0.3387611999999986</v>
      </c>
      <c r="I242" s="19"/>
      <c r="J242" s="16"/>
      <c r="K242" s="19">
        <f t="shared" si="31"/>
        <v>0.3387611999999986</v>
      </c>
      <c r="L242" s="24"/>
      <c r="M242" s="13" t="s">
        <v>69</v>
      </c>
    </row>
    <row r="243" spans="1:13" x14ac:dyDescent="0.25">
      <c r="A243" s="1">
        <v>199</v>
      </c>
      <c r="B243" s="33"/>
      <c r="C243" s="66">
        <v>34242330</v>
      </c>
      <c r="D243" s="137">
        <v>58.8</v>
      </c>
      <c r="E243" s="5">
        <v>45.415999999999997</v>
      </c>
      <c r="F243" s="5">
        <v>46.15</v>
      </c>
      <c r="G243" s="28"/>
      <c r="H243" s="16">
        <f t="shared" si="32"/>
        <v>0</v>
      </c>
      <c r="I243" s="16">
        <f>((D243*0.015)*12)/7</f>
        <v>1.512</v>
      </c>
      <c r="J243" s="16">
        <f>D243/($E$32-$E$34)*$J$31</f>
        <v>-0.73838191066188408</v>
      </c>
      <c r="K243" s="19">
        <f t="shared" si="31"/>
        <v>0.77361808933811593</v>
      </c>
      <c r="M243" s="13" t="s">
        <v>71</v>
      </c>
    </row>
    <row r="244" spans="1:13" x14ac:dyDescent="0.25">
      <c r="A244" s="1">
        <v>200</v>
      </c>
      <c r="B244" s="47">
        <v>45873</v>
      </c>
      <c r="C244" s="66">
        <v>34242329</v>
      </c>
      <c r="D244" s="137">
        <v>58.6</v>
      </c>
      <c r="E244" s="5">
        <v>7.2939999999999996</v>
      </c>
      <c r="F244" s="5">
        <v>7.6139999999999999</v>
      </c>
      <c r="G244" s="28">
        <f>F244-E244</f>
        <v>0.32000000000000028</v>
      </c>
      <c r="H244" s="16">
        <f t="shared" si="32"/>
        <v>0.27513600000000027</v>
      </c>
      <c r="I244" s="16"/>
      <c r="J244" s="16"/>
      <c r="K244" s="19">
        <f t="shared" si="31"/>
        <v>0.27513600000000027</v>
      </c>
      <c r="M244" s="13" t="s">
        <v>69</v>
      </c>
    </row>
    <row r="245" spans="1:13" x14ac:dyDescent="0.25">
      <c r="A245" s="1">
        <v>201</v>
      </c>
      <c r="B245" s="47">
        <v>45650</v>
      </c>
      <c r="C245" s="66">
        <v>34242326</v>
      </c>
      <c r="D245" s="137">
        <v>46.4</v>
      </c>
      <c r="E245" s="5">
        <v>35.353000000000002</v>
      </c>
      <c r="F245" s="5">
        <v>35.744999999999997</v>
      </c>
      <c r="G245" s="28">
        <f>F245-E245</f>
        <v>0.39199999999999591</v>
      </c>
      <c r="H245" s="16">
        <f>G245*0.8598</f>
        <v>0.3370415999999965</v>
      </c>
      <c r="I245" s="19"/>
      <c r="J245" s="16"/>
      <c r="K245" s="19">
        <f t="shared" si="31"/>
        <v>0.3370415999999965</v>
      </c>
      <c r="M245" s="13" t="s">
        <v>69</v>
      </c>
    </row>
    <row r="246" spans="1:13" x14ac:dyDescent="0.25">
      <c r="A246" s="1">
        <v>202</v>
      </c>
      <c r="B246" s="33" t="s">
        <v>59</v>
      </c>
      <c r="C246" s="94" t="s">
        <v>60</v>
      </c>
      <c r="D246" s="137">
        <v>77.5</v>
      </c>
      <c r="E246" s="39">
        <v>15.425000000000001</v>
      </c>
      <c r="F246" s="39">
        <v>16.027999999999999</v>
      </c>
      <c r="G246" s="58"/>
      <c r="H246" s="16">
        <f>F246-E246</f>
        <v>0.60299999999999798</v>
      </c>
      <c r="I246" s="19"/>
      <c r="J246" s="16"/>
      <c r="K246" s="19">
        <f>H246+I246+J246</f>
        <v>0.60299999999999798</v>
      </c>
      <c r="M246" s="13" t="s">
        <v>69</v>
      </c>
    </row>
    <row r="247" spans="1:13" x14ac:dyDescent="0.25">
      <c r="A247" s="1">
        <v>203</v>
      </c>
      <c r="B247" s="33"/>
      <c r="C247" s="66">
        <v>43441405</v>
      </c>
      <c r="D247" s="137">
        <v>117.4</v>
      </c>
      <c r="E247" s="5">
        <v>61.128</v>
      </c>
      <c r="F247" s="5">
        <v>61.95</v>
      </c>
      <c r="G247" s="28"/>
      <c r="H247" s="16">
        <f t="shared" si="32"/>
        <v>0</v>
      </c>
      <c r="I247" s="16">
        <f>((D247*0.015)*12)/7</f>
        <v>3.0188571428571431</v>
      </c>
      <c r="J247" s="16">
        <f t="shared" ref="J247:J251" si="33">D247/($E$32-$E$34)*$J$31</f>
        <v>-1.474252318226279</v>
      </c>
      <c r="K247" s="19">
        <f t="shared" si="31"/>
        <v>1.5446048246308641</v>
      </c>
      <c r="M247" s="13" t="s">
        <v>71</v>
      </c>
    </row>
    <row r="248" spans="1:13" x14ac:dyDescent="0.25">
      <c r="A248" s="1">
        <v>204</v>
      </c>
      <c r="B248" s="33"/>
      <c r="C248" s="66">
        <v>43441406</v>
      </c>
      <c r="D248" s="137">
        <v>57.9</v>
      </c>
      <c r="E248" s="5">
        <v>7.3760000000000003</v>
      </c>
      <c r="F248" s="5">
        <v>7.3760000000000003</v>
      </c>
      <c r="G248" s="28"/>
      <c r="H248" s="16">
        <f t="shared" si="32"/>
        <v>0</v>
      </c>
      <c r="I248" s="16">
        <f>((D248*0.015)*12)/7</f>
        <v>1.4888571428571427</v>
      </c>
      <c r="J248" s="16">
        <f t="shared" si="33"/>
        <v>-0.72708014672318177</v>
      </c>
      <c r="K248" s="19">
        <f t="shared" si="31"/>
        <v>0.76177699613396088</v>
      </c>
      <c r="M248" s="13" t="s">
        <v>71</v>
      </c>
    </row>
    <row r="249" spans="1:13" x14ac:dyDescent="0.25">
      <c r="A249" s="1">
        <v>205</v>
      </c>
      <c r="B249" s="33"/>
      <c r="C249" s="66">
        <v>43441089</v>
      </c>
      <c r="D249" s="137">
        <v>58.3</v>
      </c>
      <c r="E249" s="5">
        <v>34.665999999999997</v>
      </c>
      <c r="F249" s="5">
        <v>35.311999999999998</v>
      </c>
      <c r="G249" s="28"/>
      <c r="H249" s="16">
        <f t="shared" si="32"/>
        <v>0</v>
      </c>
      <c r="I249" s="16">
        <f>((D249*0.015)*12)/7</f>
        <v>1.4991428571428571</v>
      </c>
      <c r="J249" s="16">
        <f t="shared" si="33"/>
        <v>-0.73210315291816064</v>
      </c>
      <c r="K249" s="19">
        <f t="shared" si="31"/>
        <v>0.76703970422469647</v>
      </c>
      <c r="M249" s="13" t="s">
        <v>71</v>
      </c>
    </row>
    <row r="250" spans="1:13" x14ac:dyDescent="0.25">
      <c r="A250" s="1">
        <v>206</v>
      </c>
      <c r="B250" s="34"/>
      <c r="C250" s="66">
        <v>20242434</v>
      </c>
      <c r="D250" s="137">
        <v>46.3</v>
      </c>
      <c r="E250" s="5">
        <v>17.347000000000001</v>
      </c>
      <c r="F250" s="5">
        <v>18.04</v>
      </c>
      <c r="G250" s="28"/>
      <c r="H250" s="16">
        <f t="shared" si="32"/>
        <v>0</v>
      </c>
      <c r="I250" s="16">
        <f>((D250*0.015)*12)/7</f>
        <v>1.1905714285714286</v>
      </c>
      <c r="J250" s="16">
        <f t="shared" si="33"/>
        <v>-0.58141296706879653</v>
      </c>
      <c r="K250" s="19">
        <f t="shared" si="31"/>
        <v>0.60915846150263209</v>
      </c>
      <c r="M250" s="13" t="s">
        <v>71</v>
      </c>
    </row>
    <row r="251" spans="1:13" x14ac:dyDescent="0.25">
      <c r="A251" s="1">
        <v>207</v>
      </c>
      <c r="B251" s="33"/>
      <c r="C251" s="66">
        <v>43441407</v>
      </c>
      <c r="D251" s="137">
        <v>77.900000000000006</v>
      </c>
      <c r="E251" s="5">
        <v>27.616</v>
      </c>
      <c r="F251" s="5">
        <v>28.620999999999999</v>
      </c>
      <c r="G251" s="28"/>
      <c r="H251" s="16">
        <f t="shared" si="32"/>
        <v>0</v>
      </c>
      <c r="I251" s="16">
        <f>((D251*0.015)*12)/7</f>
        <v>2.0031428571428576</v>
      </c>
      <c r="J251" s="16">
        <f t="shared" si="33"/>
        <v>-0.97823045647212203</v>
      </c>
      <c r="K251" s="19">
        <f t="shared" si="31"/>
        <v>1.0249124006707355</v>
      </c>
      <c r="M251" s="13" t="s">
        <v>71</v>
      </c>
    </row>
    <row r="252" spans="1:13" x14ac:dyDescent="0.25">
      <c r="A252" s="1">
        <v>208</v>
      </c>
      <c r="B252" s="47">
        <v>45915</v>
      </c>
      <c r="C252" s="66">
        <v>43441412</v>
      </c>
      <c r="D252" s="137">
        <v>117.9</v>
      </c>
      <c r="E252" s="5">
        <v>49.119</v>
      </c>
      <c r="F252" s="5">
        <v>50.046999999999997</v>
      </c>
      <c r="G252" s="28">
        <f>F252-E252</f>
        <v>0.92799999999999727</v>
      </c>
      <c r="H252" s="16">
        <f>G252*0.8598</f>
        <v>0.79789439999999767</v>
      </c>
      <c r="I252" s="16"/>
      <c r="J252" s="16"/>
      <c r="K252" s="19">
        <f>H252+I252+J252</f>
        <v>0.79789439999999767</v>
      </c>
      <c r="M252" s="13" t="s">
        <v>69</v>
      </c>
    </row>
    <row r="253" spans="1:13" x14ac:dyDescent="0.25">
      <c r="A253" s="1">
        <v>209</v>
      </c>
      <c r="B253" s="53"/>
      <c r="C253" s="66">
        <v>43441411</v>
      </c>
      <c r="D253" s="137">
        <v>58.2</v>
      </c>
      <c r="E253" s="5">
        <v>27.541</v>
      </c>
      <c r="F253" s="5">
        <v>27.905999999999999</v>
      </c>
      <c r="G253" s="28"/>
      <c r="H253" s="16">
        <f t="shared" si="32"/>
        <v>0</v>
      </c>
      <c r="I253" s="16">
        <f>((D253*0.015)*12)/7</f>
        <v>1.4965714285714284</v>
      </c>
      <c r="J253" s="16">
        <f t="shared" ref="J253:J256" si="34">D253/($E$32-$E$34)*$J$31</f>
        <v>-0.73084740136941595</v>
      </c>
      <c r="K253" s="19">
        <f t="shared" si="31"/>
        <v>0.76572402720201249</v>
      </c>
      <c r="M253" s="13" t="s">
        <v>71</v>
      </c>
    </row>
    <row r="254" spans="1:13" x14ac:dyDescent="0.25">
      <c r="A254" s="1">
        <v>210</v>
      </c>
      <c r="B254" s="33"/>
      <c r="C254" s="66">
        <v>43441408</v>
      </c>
      <c r="D254" s="137">
        <v>58.6</v>
      </c>
      <c r="E254" s="5">
        <v>6.0659999999999998</v>
      </c>
      <c r="F254" s="5">
        <v>6.0659999999999998</v>
      </c>
      <c r="G254" s="28"/>
      <c r="H254" s="16">
        <f t="shared" si="32"/>
        <v>0</v>
      </c>
      <c r="I254" s="16">
        <f>((D254*0.015)*12)/7</f>
        <v>1.5068571428571429</v>
      </c>
      <c r="J254" s="16">
        <f t="shared" si="34"/>
        <v>-0.7358704075643947</v>
      </c>
      <c r="K254" s="19">
        <f t="shared" si="31"/>
        <v>0.77098673529274819</v>
      </c>
      <c r="M254" s="13" t="s">
        <v>71</v>
      </c>
    </row>
    <row r="255" spans="1:13" x14ac:dyDescent="0.25">
      <c r="A255" s="1">
        <v>211</v>
      </c>
      <c r="B255" s="33"/>
      <c r="C255" s="66">
        <v>43441409</v>
      </c>
      <c r="D255" s="137">
        <v>46.7</v>
      </c>
      <c r="E255" s="5">
        <v>30.995999999999999</v>
      </c>
      <c r="F255" s="5">
        <v>31.613</v>
      </c>
      <c r="G255" s="28"/>
      <c r="H255" s="16">
        <f t="shared" si="32"/>
        <v>0</v>
      </c>
      <c r="I255" s="16">
        <f>((D255*0.015)*12)/7</f>
        <v>1.2008571428571428</v>
      </c>
      <c r="J255" s="16">
        <f t="shared" si="34"/>
        <v>-0.58643597326377528</v>
      </c>
      <c r="K255" s="19">
        <f t="shared" si="31"/>
        <v>0.61442116959336757</v>
      </c>
      <c r="M255" s="13" t="s">
        <v>71</v>
      </c>
    </row>
    <row r="256" spans="1:13" x14ac:dyDescent="0.25">
      <c r="A256" s="1">
        <v>212</v>
      </c>
      <c r="B256" s="33"/>
      <c r="C256" s="66">
        <v>43441410</v>
      </c>
      <c r="D256" s="137">
        <v>78.599999999999994</v>
      </c>
      <c r="E256" s="5">
        <v>42.978999999999999</v>
      </c>
      <c r="F256" s="5">
        <v>43.343000000000004</v>
      </c>
      <c r="G256" s="28"/>
      <c r="H256" s="16">
        <f t="shared" si="32"/>
        <v>0</v>
      </c>
      <c r="I256" s="16">
        <f>((D256*0.015)*12)/7</f>
        <v>2.0211428571428569</v>
      </c>
      <c r="J256" s="16">
        <f t="shared" si="34"/>
        <v>-0.98702071731333496</v>
      </c>
      <c r="K256" s="19">
        <f t="shared" si="31"/>
        <v>1.0341221398295219</v>
      </c>
      <c r="M256" s="13" t="s">
        <v>71</v>
      </c>
    </row>
    <row r="257" spans="1:13" x14ac:dyDescent="0.25">
      <c r="A257" s="1">
        <v>213</v>
      </c>
      <c r="B257" s="47">
        <v>45803</v>
      </c>
      <c r="C257" s="66">
        <v>43441403</v>
      </c>
      <c r="D257" s="137">
        <v>117.8</v>
      </c>
      <c r="E257" s="5">
        <v>49.448</v>
      </c>
      <c r="F257" s="5">
        <v>49.991</v>
      </c>
      <c r="G257" s="28">
        <f>F257-E257</f>
        <v>0.54299999999999926</v>
      </c>
      <c r="H257" s="16">
        <f t="shared" si="32"/>
        <v>0.46687139999999938</v>
      </c>
      <c r="I257" s="19"/>
      <c r="J257" s="16"/>
      <c r="K257" s="19">
        <f t="shared" si="31"/>
        <v>0.46687139999999938</v>
      </c>
      <c r="M257" s="13" t="s">
        <v>69</v>
      </c>
    </row>
    <row r="258" spans="1:13" x14ac:dyDescent="0.25">
      <c r="A258" s="1">
        <v>214</v>
      </c>
      <c r="B258" s="33"/>
      <c r="C258" s="66">
        <v>43441398</v>
      </c>
      <c r="D258" s="137">
        <v>57.8</v>
      </c>
      <c r="E258" s="5">
        <v>16.257000000000001</v>
      </c>
      <c r="F258" s="5">
        <v>16.257000000000001</v>
      </c>
      <c r="G258" s="28"/>
      <c r="H258" s="16">
        <f t="shared" si="32"/>
        <v>0</v>
      </c>
      <c r="I258" s="16">
        <f>((D258*0.015)*12)/7</f>
        <v>1.486285714285714</v>
      </c>
      <c r="J258" s="16">
        <f t="shared" ref="J258:J259" si="35">D258/($E$32-$E$34)*$J$31</f>
        <v>-0.72582439517443709</v>
      </c>
      <c r="K258" s="19">
        <f t="shared" si="31"/>
        <v>0.7604613191112769</v>
      </c>
      <c r="M258" s="13" t="s">
        <v>71</v>
      </c>
    </row>
    <row r="259" spans="1:13" x14ac:dyDescent="0.25">
      <c r="A259" s="1">
        <v>215</v>
      </c>
      <c r="B259" s="33"/>
      <c r="C259" s="66">
        <v>43441413</v>
      </c>
      <c r="D259" s="137">
        <v>58.8</v>
      </c>
      <c r="E259" s="5">
        <v>29.366</v>
      </c>
      <c r="F259" s="5">
        <v>29.439</v>
      </c>
      <c r="G259" s="28"/>
      <c r="H259" s="16">
        <f t="shared" si="32"/>
        <v>0</v>
      </c>
      <c r="I259" s="16">
        <f>((D259*0.015)*12)/7</f>
        <v>1.512</v>
      </c>
      <c r="J259" s="16">
        <f t="shared" si="35"/>
        <v>-0.73838191066188408</v>
      </c>
      <c r="K259" s="19">
        <f t="shared" si="31"/>
        <v>0.77361808933811593</v>
      </c>
      <c r="M259" s="13" t="s">
        <v>71</v>
      </c>
    </row>
    <row r="260" spans="1:13" x14ac:dyDescent="0.25">
      <c r="A260" s="1">
        <v>216</v>
      </c>
      <c r="B260" s="47">
        <v>45939</v>
      </c>
      <c r="C260" s="66">
        <v>43441401</v>
      </c>
      <c r="D260" s="137">
        <v>46.6</v>
      </c>
      <c r="E260" s="5">
        <v>41.551000000000002</v>
      </c>
      <c r="F260" s="5">
        <v>41.773000000000003</v>
      </c>
      <c r="G260" s="28">
        <f>F260-E260</f>
        <v>0.22200000000000131</v>
      </c>
      <c r="H260" s="16">
        <f t="shared" si="32"/>
        <v>0.19087560000000112</v>
      </c>
      <c r="I260" s="19"/>
      <c r="J260" s="16"/>
      <c r="K260" s="19">
        <f t="shared" si="31"/>
        <v>0.19087560000000112</v>
      </c>
      <c r="M260" s="13" t="s">
        <v>69</v>
      </c>
    </row>
    <row r="261" spans="1:13" x14ac:dyDescent="0.25">
      <c r="A261" s="1">
        <v>217</v>
      </c>
      <c r="B261" s="33"/>
      <c r="C261" s="66">
        <v>43441404</v>
      </c>
      <c r="D261" s="137">
        <v>78.400000000000006</v>
      </c>
      <c r="E261" s="5">
        <v>39.124000000000002</v>
      </c>
      <c r="F261" s="5">
        <v>40.097999999999999</v>
      </c>
      <c r="G261" s="28"/>
      <c r="H261" s="16">
        <f t="shared" si="32"/>
        <v>0</v>
      </c>
      <c r="I261" s="16">
        <f>((D261*0.015)*12)/7</f>
        <v>2.0159999999999996</v>
      </c>
      <c r="J261" s="16">
        <f>D261/($E$32-$E$34)*$J$31</f>
        <v>-0.98450921421584547</v>
      </c>
      <c r="K261" s="19">
        <f t="shared" si="31"/>
        <v>1.031490785784154</v>
      </c>
      <c r="M261" s="13" t="s">
        <v>71</v>
      </c>
    </row>
    <row r="262" spans="1:13" x14ac:dyDescent="0.25">
      <c r="A262" s="1">
        <v>218</v>
      </c>
      <c r="B262" s="47">
        <v>45896</v>
      </c>
      <c r="C262" s="66">
        <v>43441396</v>
      </c>
      <c r="D262" s="137">
        <v>118.2</v>
      </c>
      <c r="E262" s="5">
        <v>21.102</v>
      </c>
      <c r="F262" s="5">
        <v>22.038</v>
      </c>
      <c r="G262" s="28">
        <f>F262-E262</f>
        <v>0.93599999999999994</v>
      </c>
      <c r="H262" s="16">
        <f t="shared" si="32"/>
        <v>0.80477279999999995</v>
      </c>
      <c r="I262" s="16"/>
      <c r="J262" s="16"/>
      <c r="K262" s="19">
        <f t="shared" si="31"/>
        <v>0.80477279999999995</v>
      </c>
      <c r="M262" s="13" t="s">
        <v>69</v>
      </c>
    </row>
    <row r="263" spans="1:13" x14ac:dyDescent="0.25">
      <c r="A263" s="1">
        <v>219</v>
      </c>
      <c r="B263" s="33"/>
      <c r="C263" s="66">
        <v>43441399</v>
      </c>
      <c r="D263" s="137">
        <v>58.3</v>
      </c>
      <c r="E263" s="5">
        <v>37.302</v>
      </c>
      <c r="F263" s="5">
        <v>38.225000000000001</v>
      </c>
      <c r="G263" s="28"/>
      <c r="H263" s="16">
        <f t="shared" si="32"/>
        <v>0</v>
      </c>
      <c r="I263" s="16">
        <f>((D263*0.015)*12)/7</f>
        <v>1.4991428571428571</v>
      </c>
      <c r="J263" s="16">
        <f>D263/($E$32-$E$34)*$J$31</f>
        <v>-0.73210315291816064</v>
      </c>
      <c r="K263" s="19">
        <f t="shared" si="31"/>
        <v>0.76703970422469647</v>
      </c>
      <c r="M263" s="13" t="s">
        <v>71</v>
      </c>
    </row>
    <row r="264" spans="1:13" x14ac:dyDescent="0.25">
      <c r="A264" s="1">
        <v>220</v>
      </c>
      <c r="B264" s="47">
        <v>45566</v>
      </c>
      <c r="C264" s="10" t="s">
        <v>95</v>
      </c>
      <c r="D264" s="137">
        <v>59.4</v>
      </c>
      <c r="E264" s="39">
        <v>1.2092000000000001</v>
      </c>
      <c r="F264" s="39">
        <v>1.7279</v>
      </c>
      <c r="G264" s="28"/>
      <c r="H264" s="16">
        <f>F264-E264</f>
        <v>0.51869999999999994</v>
      </c>
      <c r="I264" s="16"/>
      <c r="J264" s="16"/>
      <c r="K264" s="19">
        <f t="shared" si="31"/>
        <v>0.51869999999999994</v>
      </c>
      <c r="M264" s="13" t="s">
        <v>69</v>
      </c>
    </row>
    <row r="265" spans="1:13" x14ac:dyDescent="0.25">
      <c r="A265" s="1">
        <v>221</v>
      </c>
      <c r="B265" s="47">
        <v>45727</v>
      </c>
      <c r="C265" s="71">
        <v>43441397</v>
      </c>
      <c r="D265" s="137">
        <v>46.9</v>
      </c>
      <c r="E265" s="5">
        <v>8.4640000000000004</v>
      </c>
      <c r="F265" s="5">
        <v>8.4689999999999994</v>
      </c>
      <c r="G265" s="28">
        <f>F265-E265</f>
        <v>4.9999999999990052E-3</v>
      </c>
      <c r="H265" s="16">
        <f>G265*0.8598</f>
        <v>4.2989999999991447E-3</v>
      </c>
      <c r="I265" s="16"/>
      <c r="J265" s="16"/>
      <c r="K265" s="19">
        <f t="shared" si="31"/>
        <v>4.2989999999991447E-3</v>
      </c>
      <c r="M265" s="13" t="s">
        <v>69</v>
      </c>
    </row>
    <row r="266" spans="1:13" x14ac:dyDescent="0.25">
      <c r="A266" s="1">
        <v>222</v>
      </c>
      <c r="B266" s="47">
        <v>45570</v>
      </c>
      <c r="C266" s="71">
        <v>43441402</v>
      </c>
      <c r="D266" s="137">
        <v>77.7</v>
      </c>
      <c r="E266" s="5">
        <v>64.72</v>
      </c>
      <c r="F266" s="5">
        <v>65.162999999999997</v>
      </c>
      <c r="G266" s="28">
        <f>F266-E266</f>
        <v>0.44299999999999784</v>
      </c>
      <c r="H266" s="16">
        <f t="shared" ref="H266:H288" si="36">G266*0.8598</f>
        <v>0.38089139999999816</v>
      </c>
      <c r="I266" s="19"/>
      <c r="J266" s="16"/>
      <c r="K266" s="19">
        <f t="shared" si="31"/>
        <v>0.38089139999999816</v>
      </c>
      <c r="M266" s="13" t="s">
        <v>69</v>
      </c>
    </row>
    <row r="267" spans="1:13" x14ac:dyDescent="0.25">
      <c r="A267" s="1">
        <v>223</v>
      </c>
      <c r="B267" s="47">
        <v>45790</v>
      </c>
      <c r="C267" s="71">
        <v>43441209</v>
      </c>
      <c r="D267" s="137">
        <v>118.6</v>
      </c>
      <c r="E267" s="5">
        <v>84.488</v>
      </c>
      <c r="F267" s="5">
        <v>85.2</v>
      </c>
      <c r="G267" s="28">
        <f>F267-E267</f>
        <v>0.7120000000000033</v>
      </c>
      <c r="H267" s="16">
        <f t="shared" si="36"/>
        <v>0.61217760000000288</v>
      </c>
      <c r="I267" s="19"/>
      <c r="J267" s="16"/>
      <c r="K267" s="19">
        <f t="shared" si="31"/>
        <v>0.61217760000000288</v>
      </c>
      <c r="M267" s="13" t="s">
        <v>69</v>
      </c>
    </row>
    <row r="268" spans="1:13" x14ac:dyDescent="0.25">
      <c r="A268" s="1">
        <v>224</v>
      </c>
      <c r="B268" s="47">
        <v>45940</v>
      </c>
      <c r="C268" s="71">
        <v>43441210</v>
      </c>
      <c r="D268" s="137">
        <v>56.8</v>
      </c>
      <c r="E268" s="5">
        <v>13.131</v>
      </c>
      <c r="F268" s="5">
        <v>13.131</v>
      </c>
      <c r="G268" s="28">
        <f>F268-E268</f>
        <v>0</v>
      </c>
      <c r="H268" s="16">
        <f t="shared" si="36"/>
        <v>0</v>
      </c>
      <c r="I268" s="19"/>
      <c r="J268" s="16"/>
      <c r="K268" s="19">
        <f t="shared" si="31"/>
        <v>0</v>
      </c>
      <c r="M268" s="13" t="s">
        <v>69</v>
      </c>
    </row>
    <row r="269" spans="1:13" x14ac:dyDescent="0.25">
      <c r="A269" s="1">
        <v>225</v>
      </c>
      <c r="B269" s="33"/>
      <c r="C269" s="71">
        <v>43441214</v>
      </c>
      <c r="D269" s="137">
        <v>58.9</v>
      </c>
      <c r="E269" s="5">
        <v>40.906999999999996</v>
      </c>
      <c r="F269" s="5">
        <v>41.62</v>
      </c>
      <c r="G269" s="28"/>
      <c r="H269" s="16">
        <f t="shared" si="36"/>
        <v>0</v>
      </c>
      <c r="I269" s="16">
        <f t="shared" ref="I269:I275" si="37">((D269*0.015)*12)/7</f>
        <v>1.5145714285714287</v>
      </c>
      <c r="J269" s="16">
        <f t="shared" ref="J269:J270" si="38">D269/($E$32-$E$34)*$J$31</f>
        <v>-0.73963766221062877</v>
      </c>
      <c r="K269" s="19">
        <f t="shared" si="31"/>
        <v>0.77493376636079991</v>
      </c>
      <c r="M269" s="13" t="s">
        <v>71</v>
      </c>
    </row>
    <row r="270" spans="1:13" x14ac:dyDescent="0.25">
      <c r="A270" s="1">
        <v>226</v>
      </c>
      <c r="B270" s="33"/>
      <c r="C270" s="71">
        <v>43441215</v>
      </c>
      <c r="D270" s="137">
        <v>46.8</v>
      </c>
      <c r="E270" s="5">
        <v>25.734999999999999</v>
      </c>
      <c r="F270" s="5">
        <v>25.734999999999999</v>
      </c>
      <c r="G270" s="28"/>
      <c r="H270" s="16">
        <f t="shared" si="36"/>
        <v>0</v>
      </c>
      <c r="I270" s="16">
        <f t="shared" si="37"/>
        <v>1.2034285714285713</v>
      </c>
      <c r="J270" s="16">
        <f t="shared" si="38"/>
        <v>-0.58769172481251997</v>
      </c>
      <c r="K270" s="19">
        <f t="shared" si="31"/>
        <v>0.61573684661605133</v>
      </c>
      <c r="M270" s="13" t="s">
        <v>71</v>
      </c>
    </row>
    <row r="271" spans="1:13" x14ac:dyDescent="0.25">
      <c r="A271" s="1">
        <v>227</v>
      </c>
      <c r="B271" s="47">
        <v>45927</v>
      </c>
      <c r="C271" s="71" t="s">
        <v>105</v>
      </c>
      <c r="D271" s="137">
        <v>78.2</v>
      </c>
      <c r="E271" s="5">
        <v>3.7050000000000001</v>
      </c>
      <c r="F271" s="5">
        <v>4.1310000000000002</v>
      </c>
      <c r="G271" s="28"/>
      <c r="H271" s="16">
        <f>F271-E271</f>
        <v>0.42600000000000016</v>
      </c>
      <c r="I271" s="16"/>
      <c r="J271" s="16"/>
      <c r="K271" s="19">
        <f t="shared" si="31"/>
        <v>0.42600000000000016</v>
      </c>
      <c r="M271" s="13" t="s">
        <v>69</v>
      </c>
    </row>
    <row r="272" spans="1:13" x14ac:dyDescent="0.25">
      <c r="A272" s="1">
        <v>228</v>
      </c>
      <c r="B272" s="33"/>
      <c r="C272" s="71">
        <v>43441212</v>
      </c>
      <c r="D272" s="137">
        <v>117.5</v>
      </c>
      <c r="E272" s="5">
        <v>40.575000000000003</v>
      </c>
      <c r="F272" s="5">
        <v>40.628</v>
      </c>
      <c r="G272" s="28"/>
      <c r="H272" s="16">
        <f t="shared" si="36"/>
        <v>0</v>
      </c>
      <c r="I272" s="16">
        <f t="shared" si="37"/>
        <v>3.0214285714285714</v>
      </c>
      <c r="J272" s="16">
        <f t="shared" ref="J272:J273" si="39">D272/($E$32-$E$34)*$J$31</f>
        <v>-1.4755080697750236</v>
      </c>
      <c r="K272" s="19">
        <f>H272+I272+J272</f>
        <v>1.5459205016535478</v>
      </c>
      <c r="M272" s="13" t="s">
        <v>71</v>
      </c>
    </row>
    <row r="273" spans="1:13" x14ac:dyDescent="0.25">
      <c r="A273" s="1">
        <v>229</v>
      </c>
      <c r="B273" s="33"/>
      <c r="C273" s="71">
        <v>43441218</v>
      </c>
      <c r="D273" s="137">
        <v>57.8</v>
      </c>
      <c r="E273" s="5">
        <v>24.901</v>
      </c>
      <c r="F273" s="5">
        <v>25.35</v>
      </c>
      <c r="G273" s="28"/>
      <c r="H273" s="16">
        <f t="shared" si="36"/>
        <v>0</v>
      </c>
      <c r="I273" s="16">
        <f t="shared" si="37"/>
        <v>1.486285714285714</v>
      </c>
      <c r="J273" s="16">
        <f t="shared" si="39"/>
        <v>-0.72582439517443709</v>
      </c>
      <c r="K273" s="19">
        <f>H273+I273+J273</f>
        <v>0.7604613191112769</v>
      </c>
      <c r="M273" s="13" t="s">
        <v>71</v>
      </c>
    </row>
    <row r="274" spans="1:13" x14ac:dyDescent="0.25">
      <c r="A274" s="1">
        <v>230</v>
      </c>
      <c r="B274" s="47">
        <v>45914</v>
      </c>
      <c r="C274" s="71">
        <v>43441227</v>
      </c>
      <c r="D274" s="137">
        <v>58.4</v>
      </c>
      <c r="E274" s="5">
        <v>24.984000000000002</v>
      </c>
      <c r="F274" s="5">
        <v>25.605</v>
      </c>
      <c r="G274" s="28">
        <f>F274-E274</f>
        <v>0.62099999999999866</v>
      </c>
      <c r="H274" s="16">
        <f t="shared" si="36"/>
        <v>0.53393579999999885</v>
      </c>
      <c r="I274" s="19"/>
      <c r="J274" s="16"/>
      <c r="K274" s="19">
        <f t="shared" si="31"/>
        <v>0.53393579999999885</v>
      </c>
      <c r="M274" s="13" t="s">
        <v>69</v>
      </c>
    </row>
    <row r="275" spans="1:13" x14ac:dyDescent="0.25">
      <c r="A275" s="1">
        <v>231</v>
      </c>
      <c r="B275" s="33"/>
      <c r="C275" s="71">
        <v>43441216</v>
      </c>
      <c r="D275" s="137">
        <v>47</v>
      </c>
      <c r="E275" s="5">
        <v>14.504</v>
      </c>
      <c r="F275" s="5">
        <v>14.618</v>
      </c>
      <c r="G275" s="28"/>
      <c r="H275" s="16">
        <f t="shared" si="36"/>
        <v>0</v>
      </c>
      <c r="I275" s="16">
        <f t="shared" si="37"/>
        <v>1.2085714285714284</v>
      </c>
      <c r="J275" s="16">
        <f>D275/($E$32-$E$34)*$J$31</f>
        <v>-0.59020322791000945</v>
      </c>
      <c r="K275" s="19">
        <f t="shared" si="31"/>
        <v>0.61836820066141895</v>
      </c>
      <c r="M275" s="13" t="s">
        <v>71</v>
      </c>
    </row>
    <row r="276" spans="1:13" x14ac:dyDescent="0.25">
      <c r="A276" s="1">
        <v>232</v>
      </c>
      <c r="B276" s="47">
        <v>45738</v>
      </c>
      <c r="C276" s="10" t="s">
        <v>104</v>
      </c>
      <c r="D276" s="137">
        <v>78</v>
      </c>
      <c r="E276" s="39">
        <v>2.5985</v>
      </c>
      <c r="F276" s="39">
        <v>2.8649</v>
      </c>
      <c r="G276" s="28"/>
      <c r="H276" s="16">
        <f>F276-E276</f>
        <v>0.26639999999999997</v>
      </c>
      <c r="I276" s="19"/>
      <c r="J276" s="16"/>
      <c r="K276" s="19">
        <f t="shared" si="31"/>
        <v>0.26639999999999997</v>
      </c>
      <c r="M276" s="13" t="s">
        <v>69</v>
      </c>
    </row>
    <row r="277" spans="1:13" x14ac:dyDescent="0.25">
      <c r="A277" s="1">
        <v>233</v>
      </c>
      <c r="B277" s="47">
        <v>45790</v>
      </c>
      <c r="C277" s="71">
        <v>43441226</v>
      </c>
      <c r="D277" s="137">
        <v>117.7</v>
      </c>
      <c r="E277" s="5">
        <v>16.946999999999999</v>
      </c>
      <c r="F277" s="5">
        <v>17.556000000000001</v>
      </c>
      <c r="G277" s="28">
        <f>F277-E277</f>
        <v>0.60900000000000176</v>
      </c>
      <c r="H277" s="16">
        <f>G277*0.8598</f>
        <v>0.52361820000000148</v>
      </c>
      <c r="I277" s="16"/>
      <c r="J277" s="16"/>
      <c r="K277" s="19">
        <f t="shared" si="31"/>
        <v>0.52361820000000148</v>
      </c>
      <c r="M277" s="13" t="s">
        <v>69</v>
      </c>
    </row>
    <row r="278" spans="1:13" x14ac:dyDescent="0.25">
      <c r="A278" s="1">
        <v>234</v>
      </c>
      <c r="B278" s="33"/>
      <c r="C278" s="71">
        <v>43441225</v>
      </c>
      <c r="D278" s="146">
        <v>57.8</v>
      </c>
      <c r="E278" s="5">
        <v>24.550999999999998</v>
      </c>
      <c r="F278" s="5">
        <v>24.885999999999999</v>
      </c>
      <c r="G278" s="5"/>
      <c r="H278" s="16">
        <f t="shared" si="36"/>
        <v>0</v>
      </c>
      <c r="I278" s="16">
        <f>((D278*0.015)*12)/7</f>
        <v>1.486285714285714</v>
      </c>
      <c r="J278" s="16">
        <f>D278/($E$32-$E$34)*$J$31</f>
        <v>-0.72582439517443709</v>
      </c>
      <c r="K278" s="19">
        <f t="shared" si="31"/>
        <v>0.7604613191112769</v>
      </c>
      <c r="M278" s="13" t="s">
        <v>71</v>
      </c>
    </row>
    <row r="279" spans="1:13" x14ac:dyDescent="0.25">
      <c r="A279" s="1">
        <v>235</v>
      </c>
      <c r="B279" s="47">
        <v>45748</v>
      </c>
      <c r="C279" s="71">
        <v>43441222</v>
      </c>
      <c r="D279" s="146">
        <v>58.3</v>
      </c>
      <c r="E279" s="5">
        <v>5.23</v>
      </c>
      <c r="F279" s="5">
        <v>5.23</v>
      </c>
      <c r="G279" s="5">
        <f>F279-E279</f>
        <v>0</v>
      </c>
      <c r="H279" s="16">
        <f t="shared" si="36"/>
        <v>0</v>
      </c>
      <c r="I279" s="16"/>
      <c r="J279" s="16"/>
      <c r="K279" s="19">
        <f t="shared" si="31"/>
        <v>0</v>
      </c>
      <c r="M279" s="13" t="s">
        <v>69</v>
      </c>
    </row>
    <row r="280" spans="1:13" x14ac:dyDescent="0.25">
      <c r="A280" s="1">
        <v>236</v>
      </c>
      <c r="B280" s="33"/>
      <c r="C280" s="71">
        <v>43441223</v>
      </c>
      <c r="D280" s="146">
        <v>47</v>
      </c>
      <c r="E280" s="5">
        <v>28.978999999999999</v>
      </c>
      <c r="F280" s="5">
        <v>28.978999999999999</v>
      </c>
      <c r="G280" s="5"/>
      <c r="H280" s="16">
        <f t="shared" si="36"/>
        <v>0</v>
      </c>
      <c r="I280" s="16">
        <f>((D280*0.015)*12)/7</f>
        <v>1.2085714285714284</v>
      </c>
      <c r="J280" s="16">
        <f>D280/($E$32-$E$34)*$J$31</f>
        <v>-0.59020322791000945</v>
      </c>
      <c r="K280" s="19">
        <f t="shared" si="31"/>
        <v>0.61836820066141895</v>
      </c>
      <c r="M280" s="13" t="s">
        <v>71</v>
      </c>
    </row>
    <row r="281" spans="1:13" x14ac:dyDescent="0.25">
      <c r="A281" s="1">
        <v>237</v>
      </c>
      <c r="B281" s="47">
        <v>45703</v>
      </c>
      <c r="C281" s="71">
        <v>43441224</v>
      </c>
      <c r="D281" s="146">
        <v>77</v>
      </c>
      <c r="E281" s="5">
        <v>53.177999999999997</v>
      </c>
      <c r="F281" s="5">
        <v>54.104999999999997</v>
      </c>
      <c r="G281" s="5">
        <f>F281-E281</f>
        <v>0.9269999999999996</v>
      </c>
      <c r="H281" s="16">
        <f t="shared" si="36"/>
        <v>0.7970345999999997</v>
      </c>
      <c r="I281" s="19"/>
      <c r="J281" s="16"/>
      <c r="K281" s="19">
        <f t="shared" si="31"/>
        <v>0.7970345999999997</v>
      </c>
      <c r="M281" s="13" t="s">
        <v>69</v>
      </c>
    </row>
    <row r="282" spans="1:13" x14ac:dyDescent="0.25">
      <c r="A282" s="1">
        <v>238</v>
      </c>
      <c r="B282" s="33"/>
      <c r="C282" s="71" t="s">
        <v>115</v>
      </c>
      <c r="D282" s="146">
        <v>117.8</v>
      </c>
      <c r="E282" s="39">
        <v>3.6659999999999999</v>
      </c>
      <c r="F282" s="39">
        <v>3.8610000000000002</v>
      </c>
      <c r="G282" s="5"/>
      <c r="H282" s="16">
        <f>F282-E282</f>
        <v>0.19500000000000028</v>
      </c>
      <c r="I282" s="16"/>
      <c r="J282" s="16"/>
      <c r="K282" s="19">
        <f t="shared" si="31"/>
        <v>0.19500000000000028</v>
      </c>
      <c r="M282" s="13" t="s">
        <v>69</v>
      </c>
    </row>
    <row r="283" spans="1:13" x14ac:dyDescent="0.25">
      <c r="A283" s="1">
        <v>239</v>
      </c>
      <c r="B283" s="48">
        <v>45871</v>
      </c>
      <c r="C283" s="71">
        <v>43441220</v>
      </c>
      <c r="D283" s="146">
        <v>58.1</v>
      </c>
      <c r="E283" s="5">
        <v>36.000999999999998</v>
      </c>
      <c r="F283" s="5">
        <v>36.369</v>
      </c>
      <c r="G283" s="5">
        <f>F283-E283</f>
        <v>0.3680000000000021</v>
      </c>
      <c r="H283" s="16">
        <f>G283*0.8598</f>
        <v>0.31640640000000181</v>
      </c>
      <c r="I283" s="19"/>
      <c r="J283" s="16"/>
      <c r="K283" s="19">
        <f t="shared" si="31"/>
        <v>0.31640640000000181</v>
      </c>
      <c r="M283" s="13" t="s">
        <v>69</v>
      </c>
    </row>
    <row r="284" spans="1:13" x14ac:dyDescent="0.25">
      <c r="A284" s="1">
        <v>240</v>
      </c>
      <c r="B284" s="33"/>
      <c r="C284" s="71">
        <v>20242417</v>
      </c>
      <c r="D284" s="146">
        <v>58.7</v>
      </c>
      <c r="E284" s="5">
        <v>32.619</v>
      </c>
      <c r="F284" s="5">
        <v>32.790999999999997</v>
      </c>
      <c r="G284" s="5"/>
      <c r="H284" s="16">
        <f t="shared" si="36"/>
        <v>0</v>
      </c>
      <c r="I284" s="16">
        <f>((D284*0.015)*12)/7</f>
        <v>1.5094285714285716</v>
      </c>
      <c r="J284" s="16">
        <f t="shared" ref="J284:J287" si="40">D284/($E$32-$E$34)*$J$31</f>
        <v>-0.7371261591131395</v>
      </c>
      <c r="K284" s="19">
        <f t="shared" si="31"/>
        <v>0.77230241231543206</v>
      </c>
      <c r="M284" s="13" t="s">
        <v>71</v>
      </c>
    </row>
    <row r="285" spans="1:13" x14ac:dyDescent="0.25">
      <c r="A285" s="1">
        <v>241</v>
      </c>
      <c r="B285" s="33"/>
      <c r="C285" s="71">
        <v>20242445</v>
      </c>
      <c r="D285" s="146">
        <v>46.5</v>
      </c>
      <c r="E285" s="5">
        <v>24.16</v>
      </c>
      <c r="F285" s="5">
        <v>24.405000000000001</v>
      </c>
      <c r="G285" s="5"/>
      <c r="H285" s="16">
        <f t="shared" si="36"/>
        <v>0</v>
      </c>
      <c r="I285" s="16">
        <f>((D285*0.015)*12)/7</f>
        <v>1.195714285714286</v>
      </c>
      <c r="J285" s="16">
        <f t="shared" si="40"/>
        <v>-0.5839244701662859</v>
      </c>
      <c r="K285" s="19">
        <f t="shared" si="31"/>
        <v>0.61178981554800005</v>
      </c>
      <c r="M285" s="13" t="s">
        <v>71</v>
      </c>
    </row>
    <row r="286" spans="1:13" x14ac:dyDescent="0.25">
      <c r="A286" s="1">
        <v>242</v>
      </c>
      <c r="B286" s="33"/>
      <c r="C286" s="71">
        <v>43441219</v>
      </c>
      <c r="D286" s="146">
        <v>78.3</v>
      </c>
      <c r="E286" s="5">
        <v>66.134</v>
      </c>
      <c r="F286" s="5">
        <v>67.441000000000003</v>
      </c>
      <c r="G286" s="5"/>
      <c r="H286" s="16">
        <f t="shared" si="36"/>
        <v>0</v>
      </c>
      <c r="I286" s="16">
        <f>((D286*0.015)*12)/7</f>
        <v>2.0134285714285709</v>
      </c>
      <c r="J286" s="16">
        <f t="shared" si="40"/>
        <v>-0.98325346266710067</v>
      </c>
      <c r="K286" s="19">
        <f t="shared" si="31"/>
        <v>1.0301751087614703</v>
      </c>
      <c r="M286" s="13" t="s">
        <v>71</v>
      </c>
    </row>
    <row r="287" spans="1:13" x14ac:dyDescent="0.25">
      <c r="A287" s="1">
        <v>243</v>
      </c>
      <c r="B287" s="33"/>
      <c r="C287" s="71">
        <v>20242421</v>
      </c>
      <c r="D287" s="146">
        <v>117.2</v>
      </c>
      <c r="E287" s="5">
        <v>56.344000000000001</v>
      </c>
      <c r="F287" s="5">
        <v>58.061</v>
      </c>
      <c r="G287" s="5"/>
      <c r="H287" s="16">
        <f t="shared" si="36"/>
        <v>0</v>
      </c>
      <c r="I287" s="16">
        <f>((D287*0.015)*12)/7</f>
        <v>3.0137142857142858</v>
      </c>
      <c r="J287" s="16">
        <f t="shared" si="40"/>
        <v>-1.4717408151287894</v>
      </c>
      <c r="K287" s="19">
        <f t="shared" si="31"/>
        <v>1.5419734705854964</v>
      </c>
      <c r="M287" s="13" t="s">
        <v>71</v>
      </c>
    </row>
    <row r="288" spans="1:13" x14ac:dyDescent="0.25">
      <c r="A288" s="1">
        <v>244</v>
      </c>
      <c r="B288" s="47">
        <v>45803</v>
      </c>
      <c r="C288" s="71">
        <v>20242431</v>
      </c>
      <c r="D288" s="146">
        <v>57.8</v>
      </c>
      <c r="E288" s="5">
        <v>12.345000000000001</v>
      </c>
      <c r="F288" s="5">
        <v>12.362</v>
      </c>
      <c r="G288" s="5">
        <f>F288-E288</f>
        <v>1.699999999999946E-2</v>
      </c>
      <c r="H288" s="16">
        <f t="shared" si="36"/>
        <v>1.4616599999999536E-2</v>
      </c>
      <c r="I288" s="19"/>
      <c r="J288" s="16"/>
      <c r="K288" s="19">
        <f t="shared" si="31"/>
        <v>1.4616599999999536E-2</v>
      </c>
      <c r="M288" s="13" t="s">
        <v>69</v>
      </c>
    </row>
    <row r="289" spans="1:13" x14ac:dyDescent="0.25">
      <c r="A289" s="1">
        <v>245</v>
      </c>
      <c r="B289" s="47">
        <v>45887</v>
      </c>
      <c r="C289" s="71">
        <v>20242432</v>
      </c>
      <c r="D289" s="146">
        <v>58.2</v>
      </c>
      <c r="E289" s="5">
        <v>12.116</v>
      </c>
      <c r="F289" s="5">
        <v>12.154</v>
      </c>
      <c r="G289" s="5">
        <f>F289-E289</f>
        <v>3.8000000000000256E-2</v>
      </c>
      <c r="H289" s="16">
        <f>G289*0.8598</f>
        <v>3.2672400000000219E-2</v>
      </c>
      <c r="I289" s="19"/>
      <c r="J289" s="16"/>
      <c r="K289" s="19">
        <f t="shared" si="31"/>
        <v>3.2672400000000219E-2</v>
      </c>
      <c r="M289" s="13" t="s">
        <v>69</v>
      </c>
    </row>
    <row r="290" spans="1:13" x14ac:dyDescent="0.25">
      <c r="A290" s="1">
        <v>246</v>
      </c>
      <c r="B290" s="33"/>
      <c r="C290" s="71">
        <v>20242451</v>
      </c>
      <c r="D290" s="146">
        <v>45.8</v>
      </c>
      <c r="E290" s="5">
        <v>24.43</v>
      </c>
      <c r="F290" s="5">
        <v>25.164000000000001</v>
      </c>
      <c r="G290" s="5"/>
      <c r="H290" s="16">
        <f>G290*0.8598</f>
        <v>0</v>
      </c>
      <c r="I290" s="16">
        <f>((D290*0.015)*12)/7</f>
        <v>1.1777142857142857</v>
      </c>
      <c r="J290" s="16">
        <f>D290/($E$32-$E$34)*$J$31</f>
        <v>-0.57513420932507298</v>
      </c>
      <c r="K290" s="19">
        <f t="shared" si="31"/>
        <v>0.60258007638921274</v>
      </c>
      <c r="M290" s="13" t="s">
        <v>71</v>
      </c>
    </row>
    <row r="291" spans="1:13" ht="15.75" thickBot="1" x14ac:dyDescent="0.3">
      <c r="A291" s="42">
        <v>247</v>
      </c>
      <c r="B291" s="47">
        <v>45887</v>
      </c>
      <c r="C291" s="72">
        <v>20242442</v>
      </c>
      <c r="D291" s="141">
        <v>77.599999999999994</v>
      </c>
      <c r="E291" s="27">
        <v>34.531999999999996</v>
      </c>
      <c r="F291" s="27">
        <v>34.548999999999999</v>
      </c>
      <c r="G291" s="5">
        <f>F291-E291</f>
        <v>1.7000000000003013E-2</v>
      </c>
      <c r="H291" s="95">
        <f>G291*0.8598</f>
        <v>1.461660000000259E-2</v>
      </c>
      <c r="I291" s="96"/>
      <c r="J291" s="16"/>
      <c r="K291" s="19">
        <f t="shared" si="31"/>
        <v>1.461660000000259E-2</v>
      </c>
      <c r="M291" s="13" t="s">
        <v>69</v>
      </c>
    </row>
    <row r="292" spans="1:13" ht="15.75" thickBot="1" x14ac:dyDescent="0.3">
      <c r="A292" s="219" t="s">
        <v>81</v>
      </c>
      <c r="B292" s="220"/>
      <c r="C292" s="220"/>
      <c r="D292" s="92">
        <f>SUM(D227:D291)</f>
        <v>4660.1000000000022</v>
      </c>
      <c r="E292" s="221" t="s">
        <v>82</v>
      </c>
      <c r="F292" s="221"/>
      <c r="G292" s="221"/>
      <c r="H292" s="64">
        <f>SUM(H227:H291)</f>
        <v>10.179729999999999</v>
      </c>
      <c r="I292" s="64">
        <f>SUM(I227:I291)</f>
        <v>55.20600000000001</v>
      </c>
      <c r="J292" s="64">
        <f>SUM(J227:J291)</f>
        <v>-26.959729999999983</v>
      </c>
      <c r="K292" s="93">
        <f>SUM(K227:K291)</f>
        <v>38.426000000000002</v>
      </c>
      <c r="M292" s="13"/>
    </row>
    <row r="293" spans="1:13" x14ac:dyDescent="0.25">
      <c r="A293" s="222" t="s">
        <v>3</v>
      </c>
      <c r="B293" s="222"/>
      <c r="C293" s="222"/>
      <c r="D293" s="97">
        <f>SUM(D116,D173,D226,D292)</f>
        <v>17590.400000000005</v>
      </c>
      <c r="E293" s="65">
        <f>SUM(E42:E291)</f>
        <v>7308.0586000000039</v>
      </c>
      <c r="F293" s="65">
        <f>SUM(F42:F291)</f>
        <v>7404.1365999999935</v>
      </c>
      <c r="G293" s="6">
        <f>F293-E293</f>
        <v>96.077999999989515</v>
      </c>
      <c r="H293" s="65">
        <f>SUM(H116,H173,H226,H292)</f>
        <v>42.005400200000004</v>
      </c>
      <c r="I293" s="65">
        <f>SUM(I116,I173,I226,I292)</f>
        <v>155.90571428571428</v>
      </c>
      <c r="J293" s="65">
        <f>SUM(J116,J173,J226,J292)</f>
        <v>-30.925114485714257</v>
      </c>
      <c r="K293" s="65">
        <f>SUM(K116,K173,K226,K292)</f>
        <v>166.98599999999999</v>
      </c>
      <c r="L293" s="20"/>
      <c r="M293" s="21"/>
    </row>
    <row r="294" spans="1:13" x14ac:dyDescent="0.25">
      <c r="H294" s="98"/>
      <c r="I294" s="98"/>
      <c r="L294" s="62"/>
      <c r="M294" s="12"/>
    </row>
    <row r="295" spans="1:13" x14ac:dyDescent="0.25">
      <c r="J295" s="2"/>
      <c r="K295" s="2"/>
      <c r="M295" s="62"/>
    </row>
    <row r="296" spans="1:13" ht="18.75" customHeight="1" x14ac:dyDescent="0.25">
      <c r="A296" s="207" t="s">
        <v>34</v>
      </c>
      <c r="B296" s="40" t="s">
        <v>61</v>
      </c>
      <c r="C296" s="209" t="s">
        <v>35</v>
      </c>
      <c r="D296" s="211" t="s">
        <v>2</v>
      </c>
      <c r="E296" s="17" t="s">
        <v>129</v>
      </c>
      <c r="F296" s="17" t="s">
        <v>135</v>
      </c>
      <c r="G296" s="99" t="s">
        <v>53</v>
      </c>
      <c r="H296" s="4"/>
      <c r="I296" s="4"/>
      <c r="J296" s="2"/>
      <c r="K296" s="2"/>
    </row>
    <row r="297" spans="1:13" ht="18.75" customHeight="1" x14ac:dyDescent="0.25">
      <c r="A297" s="208"/>
      <c r="B297" s="100" t="s">
        <v>62</v>
      </c>
      <c r="C297" s="210"/>
      <c r="D297" s="212"/>
      <c r="E297" s="25" t="s">
        <v>36</v>
      </c>
      <c r="F297" s="25" t="s">
        <v>36</v>
      </c>
      <c r="G297" s="32" t="s">
        <v>54</v>
      </c>
      <c r="J297" s="2"/>
      <c r="K297" s="2"/>
    </row>
    <row r="298" spans="1:13" x14ac:dyDescent="0.25">
      <c r="A298" s="101" t="s">
        <v>37</v>
      </c>
      <c r="B298" s="102">
        <v>43296</v>
      </c>
      <c r="C298" s="26">
        <v>43441481</v>
      </c>
      <c r="D298" s="26">
        <v>122.9</v>
      </c>
      <c r="E298" s="22">
        <v>61.058</v>
      </c>
      <c r="F298" s="22">
        <v>62.444000000000003</v>
      </c>
      <c r="G298" s="22">
        <f>(F298-E298)*0.8598</f>
        <v>1.1916828000000024</v>
      </c>
      <c r="J298" s="2"/>
      <c r="K298" s="2"/>
    </row>
    <row r="299" spans="1:13" x14ac:dyDescent="0.25">
      <c r="A299" s="101" t="s">
        <v>38</v>
      </c>
      <c r="B299" s="102">
        <v>43296</v>
      </c>
      <c r="C299" s="26">
        <v>43441178</v>
      </c>
      <c r="D299" s="26">
        <v>68.5</v>
      </c>
      <c r="E299" s="22">
        <v>108.589</v>
      </c>
      <c r="F299" s="22">
        <v>110.038</v>
      </c>
      <c r="G299" s="22">
        <f t="shared" ref="G299:G312" si="41">(F299-E299)*0.8598</f>
        <v>1.2458501999999982</v>
      </c>
      <c r="J299" s="2"/>
      <c r="K299" s="2"/>
    </row>
    <row r="300" spans="1:13" x14ac:dyDescent="0.25">
      <c r="A300" s="101" t="s">
        <v>39</v>
      </c>
      <c r="B300" s="102">
        <v>43296</v>
      </c>
      <c r="C300" s="26">
        <v>43441179</v>
      </c>
      <c r="D300" s="26">
        <v>106.9</v>
      </c>
      <c r="E300" s="22">
        <v>35.89</v>
      </c>
      <c r="F300" s="22">
        <v>36.182000000000002</v>
      </c>
      <c r="G300" s="22">
        <f t="shared" si="41"/>
        <v>0.25106160000000138</v>
      </c>
      <c r="J300" s="2"/>
      <c r="K300" s="2"/>
    </row>
    <row r="301" spans="1:13" x14ac:dyDescent="0.25">
      <c r="A301" s="101" t="s">
        <v>40</v>
      </c>
      <c r="B301" s="102">
        <v>43296</v>
      </c>
      <c r="C301" s="26">
        <v>43441177</v>
      </c>
      <c r="D301" s="26">
        <v>163.80000000000001</v>
      </c>
      <c r="E301" s="22">
        <v>186.048</v>
      </c>
      <c r="F301" s="22">
        <v>189.64099999999999</v>
      </c>
      <c r="G301" s="22">
        <f t="shared" si="41"/>
        <v>3.0892613999999909</v>
      </c>
      <c r="J301" s="2"/>
      <c r="K301" s="2"/>
    </row>
    <row r="302" spans="1:13" x14ac:dyDescent="0.25">
      <c r="A302" s="101" t="s">
        <v>41</v>
      </c>
      <c r="B302" s="102">
        <v>43296</v>
      </c>
      <c r="C302" s="26">
        <v>43441482</v>
      </c>
      <c r="D302" s="26">
        <v>109.8</v>
      </c>
      <c r="E302" s="22">
        <v>148.66300000000001</v>
      </c>
      <c r="F302" s="22">
        <v>150.23599999999999</v>
      </c>
      <c r="G302" s="22">
        <f t="shared" si="41"/>
        <v>1.3524653999999821</v>
      </c>
      <c r="K302" s="2"/>
    </row>
    <row r="303" spans="1:13" x14ac:dyDescent="0.25">
      <c r="A303" s="101" t="s">
        <v>42</v>
      </c>
      <c r="B303" s="102">
        <v>43296</v>
      </c>
      <c r="C303" s="26">
        <v>43441483</v>
      </c>
      <c r="D303" s="26">
        <v>58.7</v>
      </c>
      <c r="E303" s="22">
        <v>191.512</v>
      </c>
      <c r="F303" s="22">
        <v>192.298</v>
      </c>
      <c r="G303" s="22">
        <f t="shared" si="41"/>
        <v>0.67580280000000115</v>
      </c>
      <c r="J303" s="2"/>
      <c r="K303" s="2"/>
    </row>
    <row r="304" spans="1:13" x14ac:dyDescent="0.25">
      <c r="A304" s="101" t="s">
        <v>43</v>
      </c>
      <c r="B304" s="102">
        <v>43296</v>
      </c>
      <c r="C304" s="26">
        <v>41444210</v>
      </c>
      <c r="D304" s="26">
        <v>89.1</v>
      </c>
      <c r="E304" s="22">
        <v>166.97300000000001</v>
      </c>
      <c r="F304" s="22">
        <v>168.74600000000001</v>
      </c>
      <c r="G304" s="22">
        <f t="shared" si="41"/>
        <v>1.5244253999999966</v>
      </c>
      <c r="J304" s="2"/>
      <c r="K304" s="2"/>
    </row>
    <row r="305" spans="1:13" x14ac:dyDescent="0.25">
      <c r="A305" s="101" t="s">
        <v>44</v>
      </c>
      <c r="B305" s="102">
        <v>43296</v>
      </c>
      <c r="C305" s="26">
        <v>20242453</v>
      </c>
      <c r="D305" s="26">
        <v>56.5</v>
      </c>
      <c r="E305" s="22">
        <v>176.245</v>
      </c>
      <c r="F305" s="22">
        <v>178.83</v>
      </c>
      <c r="G305" s="22">
        <f t="shared" si="41"/>
        <v>2.2225830000000069</v>
      </c>
      <c r="J305" s="2"/>
      <c r="K305" s="2"/>
    </row>
    <row r="306" spans="1:13" x14ac:dyDescent="0.25">
      <c r="A306" s="101" t="s">
        <v>45</v>
      </c>
      <c r="B306" s="102">
        <v>43296</v>
      </c>
      <c r="C306" s="26">
        <v>20242426</v>
      </c>
      <c r="D306" s="26">
        <v>96</v>
      </c>
      <c r="E306" s="22">
        <v>133.14699999999999</v>
      </c>
      <c r="F306" s="22">
        <v>135.11199999999999</v>
      </c>
      <c r="G306" s="22">
        <f t="shared" si="41"/>
        <v>1.689507000000003</v>
      </c>
      <c r="J306" s="2"/>
      <c r="K306" s="2"/>
    </row>
    <row r="307" spans="1:13" x14ac:dyDescent="0.25">
      <c r="A307" s="101" t="s">
        <v>46</v>
      </c>
      <c r="B307" s="102">
        <v>43296</v>
      </c>
      <c r="C307" s="26">
        <v>20242457</v>
      </c>
      <c r="D307" s="26">
        <v>103.3</v>
      </c>
      <c r="E307" s="22">
        <v>132.21700000000001</v>
      </c>
      <c r="F307" s="22">
        <v>134.322</v>
      </c>
      <c r="G307" s="22">
        <f t="shared" si="41"/>
        <v>1.8098789999999911</v>
      </c>
      <c r="J307" s="2"/>
      <c r="K307" s="2"/>
    </row>
    <row r="308" spans="1:13" x14ac:dyDescent="0.25">
      <c r="A308" s="101" t="s">
        <v>47</v>
      </c>
      <c r="B308" s="102">
        <v>43296</v>
      </c>
      <c r="C308" s="26">
        <v>20242455</v>
      </c>
      <c r="D308" s="26">
        <v>43.4</v>
      </c>
      <c r="E308" s="22">
        <v>107.288</v>
      </c>
      <c r="F308" s="22">
        <v>109.258</v>
      </c>
      <c r="G308" s="22">
        <f t="shared" si="41"/>
        <v>1.693805999999999</v>
      </c>
      <c r="J308" s="2"/>
      <c r="K308" s="2"/>
    </row>
    <row r="309" spans="1:13" x14ac:dyDescent="0.25">
      <c r="A309" s="101" t="s">
        <v>48</v>
      </c>
      <c r="B309" s="102">
        <v>43296</v>
      </c>
      <c r="C309" s="26">
        <v>20442453</v>
      </c>
      <c r="D309" s="26">
        <v>79.900000000000006</v>
      </c>
      <c r="E309" s="22">
        <v>114.39100000000001</v>
      </c>
      <c r="F309" s="22">
        <v>115.643</v>
      </c>
      <c r="G309" s="22">
        <f t="shared" si="41"/>
        <v>1.076469599999996</v>
      </c>
      <c r="J309" s="2"/>
      <c r="K309" s="2"/>
    </row>
    <row r="310" spans="1:13" x14ac:dyDescent="0.25">
      <c r="A310" s="101" t="s">
        <v>49</v>
      </c>
      <c r="B310" s="102">
        <v>43296</v>
      </c>
      <c r="C310" s="26">
        <v>20242456</v>
      </c>
      <c r="D310" s="26">
        <v>106.1</v>
      </c>
      <c r="E310" s="22">
        <v>49.536000000000001</v>
      </c>
      <c r="F310" s="22">
        <v>49.536000000000001</v>
      </c>
      <c r="G310" s="22">
        <f t="shared" si="41"/>
        <v>0</v>
      </c>
      <c r="J310" s="2"/>
      <c r="K310" s="2"/>
    </row>
    <row r="311" spans="1:13" x14ac:dyDescent="0.25">
      <c r="A311" s="101" t="s">
        <v>50</v>
      </c>
      <c r="B311" s="102">
        <v>43296</v>
      </c>
      <c r="C311" s="26">
        <v>20242415</v>
      </c>
      <c r="D311" s="26">
        <v>137.9</v>
      </c>
      <c r="E311" s="22">
        <v>200.74299999999999</v>
      </c>
      <c r="F311" s="22">
        <v>201.50899999999999</v>
      </c>
      <c r="G311" s="22">
        <f t="shared" si="41"/>
        <v>0.65860679999999239</v>
      </c>
      <c r="J311" s="2"/>
      <c r="K311" s="2"/>
    </row>
    <row r="312" spans="1:13" x14ac:dyDescent="0.25">
      <c r="A312" s="101" t="s">
        <v>51</v>
      </c>
      <c r="B312" s="102">
        <v>43296</v>
      </c>
      <c r="C312" s="26">
        <v>20242418</v>
      </c>
      <c r="D312" s="26">
        <v>56.4</v>
      </c>
      <c r="E312" s="22">
        <v>211.70599999999999</v>
      </c>
      <c r="F312" s="22">
        <v>214.78100000000001</v>
      </c>
      <c r="G312" s="22">
        <f t="shared" si="41"/>
        <v>2.6438850000000147</v>
      </c>
      <c r="J312" s="2"/>
      <c r="K312" s="2"/>
    </row>
    <row r="313" spans="1:13" x14ac:dyDescent="0.25">
      <c r="C313" s="18"/>
      <c r="D313" s="26">
        <f>SUM(D298:D312)</f>
        <v>1399.2</v>
      </c>
      <c r="E313" s="23">
        <f>SUM(E298:E312)</f>
        <v>2024.0060000000001</v>
      </c>
      <c r="F313" s="23">
        <f>SUM(F298:F312)</f>
        <v>2048.5760000000005</v>
      </c>
      <c r="G313" s="23">
        <f>SUM(G298:G312)</f>
        <v>21.125285999999978</v>
      </c>
      <c r="J313" s="2"/>
      <c r="K313" s="2"/>
    </row>
    <row r="314" spans="1:13" x14ac:dyDescent="0.25">
      <c r="A314" s="103"/>
      <c r="B314" s="103"/>
      <c r="C314" s="103"/>
      <c r="D314" s="103"/>
      <c r="E314" s="103"/>
      <c r="F314" s="103"/>
      <c r="G314" s="103"/>
      <c r="J314" s="2"/>
      <c r="K314" s="2"/>
      <c r="M314" s="62"/>
    </row>
    <row r="315" spans="1:13" x14ac:dyDescent="0.25">
      <c r="A315" s="104" t="s">
        <v>14</v>
      </c>
      <c r="G315" s="103"/>
      <c r="J315" s="2"/>
      <c r="K315" s="2"/>
      <c r="M315" s="62"/>
    </row>
    <row r="316" spans="1:13" x14ac:dyDescent="0.25">
      <c r="A316" s="103"/>
      <c r="F316" s="103"/>
      <c r="J316" s="2"/>
      <c r="K316" s="2"/>
      <c r="L316" s="62"/>
      <c r="M316" s="62"/>
    </row>
    <row r="317" spans="1:13" x14ac:dyDescent="0.25">
      <c r="J317" s="2"/>
      <c r="K317" s="2"/>
      <c r="L317" s="62"/>
      <c r="M317" s="62"/>
    </row>
  </sheetData>
  <mergeCells count="80">
    <mergeCell ref="F36:H36"/>
    <mergeCell ref="A296:A297"/>
    <mergeCell ref="C296:C297"/>
    <mergeCell ref="D296:D297"/>
    <mergeCell ref="F38:H38"/>
    <mergeCell ref="F39:H39"/>
    <mergeCell ref="A116:C116"/>
    <mergeCell ref="E116:G116"/>
    <mergeCell ref="A173:C173"/>
    <mergeCell ref="E173:G173"/>
    <mergeCell ref="A226:C226"/>
    <mergeCell ref="E226:G226"/>
    <mergeCell ref="A292:C292"/>
    <mergeCell ref="E292:G292"/>
    <mergeCell ref="A293:C293"/>
    <mergeCell ref="J36:J37"/>
    <mergeCell ref="F37:H37"/>
    <mergeCell ref="A29:E29"/>
    <mergeCell ref="F29:H29"/>
    <mergeCell ref="A30:A35"/>
    <mergeCell ref="B30:E31"/>
    <mergeCell ref="F30:H30"/>
    <mergeCell ref="F31:H31"/>
    <mergeCell ref="B32:D32"/>
    <mergeCell ref="F32:J32"/>
    <mergeCell ref="B33:D33"/>
    <mergeCell ref="F33:H33"/>
    <mergeCell ref="B34:D34"/>
    <mergeCell ref="F34:H34"/>
    <mergeCell ref="B35:D35"/>
    <mergeCell ref="F35:H35"/>
    <mergeCell ref="B26:D26"/>
    <mergeCell ref="F26:H26"/>
    <mergeCell ref="B27:D27"/>
    <mergeCell ref="F27:H27"/>
    <mergeCell ref="B28:D28"/>
    <mergeCell ref="F28:H28"/>
    <mergeCell ref="B21:D21"/>
    <mergeCell ref="F21:H21"/>
    <mergeCell ref="A22:E22"/>
    <mergeCell ref="F22:H22"/>
    <mergeCell ref="A23:A28"/>
    <mergeCell ref="B23:E24"/>
    <mergeCell ref="F23:H23"/>
    <mergeCell ref="F24:H24"/>
    <mergeCell ref="B25:D25"/>
    <mergeCell ref="F25:J25"/>
    <mergeCell ref="A16:A21"/>
    <mergeCell ref="B16:E17"/>
    <mergeCell ref="F16:H16"/>
    <mergeCell ref="F17:H17"/>
    <mergeCell ref="B18:D18"/>
    <mergeCell ref="F18:J18"/>
    <mergeCell ref="F11:J11"/>
    <mergeCell ref="B19:D19"/>
    <mergeCell ref="F19:H19"/>
    <mergeCell ref="B20:D20"/>
    <mergeCell ref="F20:H20"/>
    <mergeCell ref="B13:D13"/>
    <mergeCell ref="F13:H13"/>
    <mergeCell ref="B14:D14"/>
    <mergeCell ref="F14:H14"/>
    <mergeCell ref="A15:E15"/>
    <mergeCell ref="F15:H15"/>
    <mergeCell ref="B12:D12"/>
    <mergeCell ref="F12:H12"/>
    <mergeCell ref="A1:M1"/>
    <mergeCell ref="A3:M3"/>
    <mergeCell ref="A4:M4"/>
    <mergeCell ref="A6:J6"/>
    <mergeCell ref="M6:M10"/>
    <mergeCell ref="A7:E7"/>
    <mergeCell ref="F7:H7"/>
    <mergeCell ref="A8:E8"/>
    <mergeCell ref="F8:H8"/>
    <mergeCell ref="A9:A14"/>
    <mergeCell ref="B9:E10"/>
    <mergeCell ref="F9:H9"/>
    <mergeCell ref="F10:H10"/>
    <mergeCell ref="B11:D11"/>
  </mergeCells>
  <pageMargins left="0.78740157480314965" right="0" top="0" bottom="0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16" zoomScaleNormal="100" workbookViewId="0">
      <selection activeCell="B228" sqref="B228"/>
    </sheetView>
  </sheetViews>
  <sheetFormatPr defaultRowHeight="15" x14ac:dyDescent="0.25"/>
  <cols>
    <col min="1" max="1" width="6.42578125" style="2" customWidth="1"/>
    <col min="2" max="2" width="16" style="2" customWidth="1"/>
    <col min="3" max="3" width="15" style="2" customWidth="1"/>
    <col min="4" max="4" width="9.5703125" style="2" customWidth="1"/>
    <col min="5" max="5" width="10.5703125" style="2" customWidth="1"/>
    <col min="6" max="8" width="10.28515625" style="2" customWidth="1"/>
    <col min="9" max="9" width="12.28515625" style="2" customWidth="1"/>
    <col min="10" max="10" width="11.28515625" style="62" customWidth="1"/>
    <col min="11" max="11" width="9.42578125" style="62" customWidth="1"/>
    <col min="12" max="12" width="2.140625" style="2" customWidth="1"/>
    <col min="13" max="13" width="26" style="2" customWidth="1"/>
    <col min="14" max="14" width="9.5703125" style="184" bestFit="1" customWidth="1"/>
    <col min="15" max="15" width="9.140625" style="2"/>
    <col min="16" max="16" width="12.5703125" style="2" bestFit="1" customWidth="1"/>
    <col min="17" max="16384" width="9.140625" style="2"/>
  </cols>
  <sheetData>
    <row r="1" spans="1:13" ht="20.25" x14ac:dyDescent="0.3">
      <c r="A1" s="255" t="s">
        <v>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4.45" customHeight="1" x14ac:dyDescent="0.3">
      <c r="A2" s="161"/>
      <c r="B2" s="161"/>
      <c r="C2" s="161"/>
      <c r="D2" s="161"/>
      <c r="E2" s="161"/>
      <c r="F2" s="161"/>
      <c r="G2" s="161"/>
      <c r="H2" s="161"/>
      <c r="I2" s="161"/>
      <c r="J2" s="60"/>
      <c r="K2" s="60"/>
      <c r="L2" s="161"/>
      <c r="M2" s="161"/>
    </row>
    <row r="3" spans="1:13" ht="18.75" x14ac:dyDescent="0.25">
      <c r="A3" s="256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8.75" x14ac:dyDescent="0.25">
      <c r="A4" s="256" t="s">
        <v>136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ht="17.4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ht="16.149999999999999" customHeight="1" x14ac:dyDescent="0.25">
      <c r="A6" s="237" t="s">
        <v>8</v>
      </c>
      <c r="B6" s="238"/>
      <c r="C6" s="238"/>
      <c r="D6" s="238"/>
      <c r="E6" s="238"/>
      <c r="F6" s="238"/>
      <c r="G6" s="238"/>
      <c r="H6" s="238"/>
      <c r="I6" s="238"/>
      <c r="J6" s="239"/>
      <c r="K6" s="160"/>
      <c r="L6" s="75" t="s">
        <v>10</v>
      </c>
      <c r="M6" s="211" t="s">
        <v>11</v>
      </c>
    </row>
    <row r="7" spans="1:13" ht="37.9" customHeight="1" thickBot="1" x14ac:dyDescent="0.3">
      <c r="A7" s="258" t="s">
        <v>4</v>
      </c>
      <c r="B7" s="258"/>
      <c r="C7" s="258"/>
      <c r="D7" s="258"/>
      <c r="E7" s="258"/>
      <c r="F7" s="244" t="s">
        <v>5</v>
      </c>
      <c r="G7" s="245"/>
      <c r="H7" s="245"/>
      <c r="I7" s="54"/>
      <c r="J7" s="152" t="s">
        <v>137</v>
      </c>
      <c r="K7" s="106"/>
      <c r="L7" s="75"/>
      <c r="M7" s="257"/>
    </row>
    <row r="8" spans="1:13" ht="27" customHeight="1" thickBot="1" x14ac:dyDescent="0.3">
      <c r="A8" s="259" t="s">
        <v>29</v>
      </c>
      <c r="B8" s="260"/>
      <c r="C8" s="261"/>
      <c r="D8" s="261"/>
      <c r="E8" s="261"/>
      <c r="F8" s="262" t="s">
        <v>63</v>
      </c>
      <c r="G8" s="263"/>
      <c r="H8" s="264"/>
      <c r="I8" s="164"/>
      <c r="J8" s="50">
        <v>3.8679999999999999</v>
      </c>
      <c r="K8" s="76"/>
      <c r="L8" s="75"/>
      <c r="M8" s="257"/>
    </row>
    <row r="9" spans="1:13" ht="13.9" customHeight="1" x14ac:dyDescent="0.25">
      <c r="A9" s="247"/>
      <c r="B9" s="262" t="s">
        <v>64</v>
      </c>
      <c r="C9" s="263"/>
      <c r="D9" s="263"/>
      <c r="E9" s="264"/>
      <c r="F9" s="268" t="s">
        <v>16</v>
      </c>
      <c r="G9" s="269"/>
      <c r="H9" s="270"/>
      <c r="I9" s="165"/>
      <c r="J9" s="43">
        <f>J13+J12+J14</f>
        <v>9.616632199999998</v>
      </c>
      <c r="K9" s="77"/>
      <c r="L9" s="75"/>
      <c r="M9" s="257"/>
    </row>
    <row r="10" spans="1:13" ht="13.9" customHeight="1" x14ac:dyDescent="0.25">
      <c r="A10" s="229"/>
      <c r="B10" s="265"/>
      <c r="C10" s="266"/>
      <c r="D10" s="266"/>
      <c r="E10" s="267"/>
      <c r="F10" s="237" t="s">
        <v>18</v>
      </c>
      <c r="G10" s="238"/>
      <c r="H10" s="239"/>
      <c r="I10" s="157"/>
      <c r="J10" s="31">
        <f>J8-J13-J12-J14</f>
        <v>-5.7486321999999994</v>
      </c>
      <c r="K10" s="77"/>
      <c r="L10" s="75"/>
      <c r="M10" s="212"/>
    </row>
    <row r="11" spans="1:13" ht="13.9" customHeight="1" x14ac:dyDescent="0.25">
      <c r="A11" s="229"/>
      <c r="B11" s="240" t="s">
        <v>65</v>
      </c>
      <c r="C11" s="241"/>
      <c r="D11" s="241"/>
      <c r="E11" s="55">
        <f>D116</f>
        <v>5338.7000000000025</v>
      </c>
      <c r="F11" s="234"/>
      <c r="G11" s="235"/>
      <c r="H11" s="235"/>
      <c r="I11" s="235"/>
      <c r="J11" s="236"/>
      <c r="K11" s="77"/>
      <c r="L11" s="75"/>
      <c r="M11" s="41"/>
    </row>
    <row r="12" spans="1:13" ht="25.5" customHeight="1" x14ac:dyDescent="0.25">
      <c r="A12" s="229"/>
      <c r="B12" s="240" t="s">
        <v>67</v>
      </c>
      <c r="C12" s="241"/>
      <c r="D12" s="271"/>
      <c r="E12" s="56">
        <f>SUM(D42,D45,D49,D54,D56,D62,D69,D72,D77,D80,D86,D92:D93,D96,D98,D106,D112:D113)</f>
        <v>1279</v>
      </c>
      <c r="F12" s="237" t="s">
        <v>83</v>
      </c>
      <c r="G12" s="238"/>
      <c r="H12" s="239"/>
      <c r="I12" s="156"/>
      <c r="J12" s="7">
        <f>I116</f>
        <v>7.6739999999999986</v>
      </c>
      <c r="K12" s="77"/>
      <c r="L12" s="75"/>
      <c r="M12" s="44"/>
    </row>
    <row r="13" spans="1:13" ht="25.5" customHeight="1" x14ac:dyDescent="0.25">
      <c r="A13" s="229"/>
      <c r="B13" s="240" t="s">
        <v>84</v>
      </c>
      <c r="C13" s="241"/>
      <c r="D13" s="241"/>
      <c r="E13" s="56">
        <f>SUM(D43:D44,D46:D48,D50:D53,D55,D57:D61,D63:D68,D70:D71,D73:D76,D78:D79,D81:D85,D87:D91,D94:D95,D97,D99:D105,D107:D111,D114:D115)</f>
        <v>4059.7000000000012</v>
      </c>
      <c r="F13" s="237" t="s">
        <v>66</v>
      </c>
      <c r="G13" s="238"/>
      <c r="H13" s="239"/>
      <c r="I13" s="157"/>
      <c r="J13" s="7">
        <f>H116</f>
        <v>1.9426322000000003</v>
      </c>
      <c r="K13" s="77"/>
      <c r="L13" s="75"/>
      <c r="M13" s="41"/>
    </row>
    <row r="14" spans="1:13" ht="25.5" customHeight="1" thickBot="1" x14ac:dyDescent="0.3">
      <c r="A14" s="230"/>
      <c r="B14" s="242" t="s">
        <v>85</v>
      </c>
      <c r="C14" s="243"/>
      <c r="D14" s="243"/>
      <c r="E14" s="57">
        <v>0</v>
      </c>
      <c r="F14" s="244" t="s">
        <v>86</v>
      </c>
      <c r="G14" s="245"/>
      <c r="H14" s="246"/>
      <c r="I14" s="158"/>
      <c r="J14" s="46">
        <v>0</v>
      </c>
      <c r="K14" s="77"/>
      <c r="L14" s="75"/>
      <c r="M14" s="41"/>
    </row>
    <row r="15" spans="1:13" ht="27.75" customHeight="1" thickBot="1" x14ac:dyDescent="0.3">
      <c r="A15" s="249" t="s">
        <v>90</v>
      </c>
      <c r="B15" s="250"/>
      <c r="C15" s="251"/>
      <c r="D15" s="251"/>
      <c r="E15" s="251"/>
      <c r="F15" s="252" t="s">
        <v>68</v>
      </c>
      <c r="G15" s="253"/>
      <c r="H15" s="254"/>
      <c r="I15" s="160"/>
      <c r="J15" s="153">
        <v>4.2969999999999997</v>
      </c>
      <c r="K15" s="78"/>
      <c r="L15" s="75"/>
      <c r="M15" s="14"/>
    </row>
    <row r="16" spans="1:13" ht="13.9" customHeight="1" x14ac:dyDescent="0.25">
      <c r="A16" s="247"/>
      <c r="B16" s="248" t="s">
        <v>64</v>
      </c>
      <c r="C16" s="248"/>
      <c r="D16" s="248"/>
      <c r="E16" s="248"/>
      <c r="F16" s="248" t="s">
        <v>17</v>
      </c>
      <c r="G16" s="248"/>
      <c r="H16" s="248"/>
      <c r="I16" s="159"/>
      <c r="J16" s="43">
        <f>J20+J19+J21</f>
        <v>5.5133964000000049</v>
      </c>
      <c r="K16" s="77"/>
      <c r="L16" s="75"/>
      <c r="M16" s="14" t="s">
        <v>52</v>
      </c>
    </row>
    <row r="17" spans="1:13" ht="13.9" customHeight="1" x14ac:dyDescent="0.25">
      <c r="A17" s="229"/>
      <c r="B17" s="232"/>
      <c r="C17" s="232"/>
      <c r="D17" s="232"/>
      <c r="E17" s="232"/>
      <c r="F17" s="232" t="s">
        <v>19</v>
      </c>
      <c r="G17" s="232"/>
      <c r="H17" s="232"/>
      <c r="I17" s="156"/>
      <c r="J17" s="31">
        <f>J15-J20-J19-J21</f>
        <v>-1.2163964000000052</v>
      </c>
      <c r="K17" s="77"/>
      <c r="L17" s="75"/>
      <c r="M17" s="14" t="s">
        <v>32</v>
      </c>
    </row>
    <row r="18" spans="1:13" ht="13.9" customHeight="1" x14ac:dyDescent="0.25">
      <c r="A18" s="229"/>
      <c r="B18" s="233" t="s">
        <v>65</v>
      </c>
      <c r="C18" s="233"/>
      <c r="D18" s="233"/>
      <c r="E18" s="55">
        <f>D173</f>
        <v>3918.9999999999991</v>
      </c>
      <c r="F18" s="234"/>
      <c r="G18" s="235"/>
      <c r="H18" s="235"/>
      <c r="I18" s="235"/>
      <c r="J18" s="236"/>
      <c r="K18" s="77"/>
      <c r="L18" s="75"/>
      <c r="M18" s="14"/>
    </row>
    <row r="19" spans="1:13" ht="29.25" customHeight="1" x14ac:dyDescent="0.25">
      <c r="A19" s="229"/>
      <c r="B19" s="233" t="s">
        <v>67</v>
      </c>
      <c r="C19" s="233"/>
      <c r="D19" s="233"/>
      <c r="E19" s="56">
        <f>SUM(D122,D126:D127,D132,D137,D147,D149,D163:D164,D169)</f>
        <v>706.2</v>
      </c>
      <c r="F19" s="237" t="s">
        <v>83</v>
      </c>
      <c r="G19" s="238"/>
      <c r="H19" s="239"/>
      <c r="I19" s="156"/>
      <c r="J19" s="7">
        <f>I173</f>
        <v>4.2371999999999996</v>
      </c>
      <c r="K19" s="77"/>
      <c r="L19" s="75"/>
      <c r="M19" s="14"/>
    </row>
    <row r="20" spans="1:13" ht="29.25" customHeight="1" x14ac:dyDescent="0.25">
      <c r="A20" s="229"/>
      <c r="B20" s="240" t="s">
        <v>84</v>
      </c>
      <c r="C20" s="241"/>
      <c r="D20" s="241"/>
      <c r="E20" s="56">
        <f>SUM(D117:D121,D123:D125,D128:D131,D133:D136,D138:D146,D148,D150:D157,D158:D162,D165:D168,D170:D172)</f>
        <v>3212.7999999999997</v>
      </c>
      <c r="F20" s="232" t="s">
        <v>66</v>
      </c>
      <c r="G20" s="232"/>
      <c r="H20" s="232"/>
      <c r="I20" s="156"/>
      <c r="J20" s="7">
        <f>H173</f>
        <v>1.2761964000000052</v>
      </c>
      <c r="K20" s="77"/>
      <c r="L20" s="75"/>
      <c r="M20" s="14"/>
    </row>
    <row r="21" spans="1:13" ht="29.25" customHeight="1" thickBot="1" x14ac:dyDescent="0.3">
      <c r="A21" s="230"/>
      <c r="B21" s="242" t="s">
        <v>85</v>
      </c>
      <c r="C21" s="243"/>
      <c r="D21" s="243"/>
      <c r="E21" s="57">
        <v>0</v>
      </c>
      <c r="F21" s="244" t="s">
        <v>86</v>
      </c>
      <c r="G21" s="245"/>
      <c r="H21" s="246"/>
      <c r="I21" s="158"/>
      <c r="J21" s="46">
        <v>0</v>
      </c>
      <c r="K21" s="77"/>
      <c r="L21" s="75"/>
      <c r="M21" s="14"/>
    </row>
    <row r="22" spans="1:13" ht="24.75" customHeight="1" thickBot="1" x14ac:dyDescent="0.3">
      <c r="A22" s="226" t="s">
        <v>30</v>
      </c>
      <c r="B22" s="227"/>
      <c r="C22" s="227"/>
      <c r="D22" s="227"/>
      <c r="E22" s="227"/>
      <c r="F22" s="228" t="s">
        <v>20</v>
      </c>
      <c r="G22" s="228"/>
      <c r="H22" s="228"/>
      <c r="I22" s="154"/>
      <c r="J22" s="51">
        <v>4.0010000000000003</v>
      </c>
      <c r="K22" s="78"/>
      <c r="L22" s="75"/>
      <c r="M22" s="11"/>
    </row>
    <row r="23" spans="1:13" ht="13.9" customHeight="1" x14ac:dyDescent="0.25">
      <c r="A23" s="247"/>
      <c r="B23" s="248" t="s">
        <v>64</v>
      </c>
      <c r="C23" s="248"/>
      <c r="D23" s="248"/>
      <c r="E23" s="248"/>
      <c r="F23" s="248" t="s">
        <v>21</v>
      </c>
      <c r="G23" s="248"/>
      <c r="H23" s="248"/>
      <c r="I23" s="159"/>
      <c r="J23" s="43">
        <f>J27+J26+J28</f>
        <v>5.444867999999996</v>
      </c>
      <c r="K23" s="77"/>
      <c r="L23" s="75"/>
      <c r="M23" s="3"/>
    </row>
    <row r="24" spans="1:13" ht="13.9" customHeight="1" x14ac:dyDescent="0.25">
      <c r="A24" s="229"/>
      <c r="B24" s="232"/>
      <c r="C24" s="232"/>
      <c r="D24" s="232"/>
      <c r="E24" s="232"/>
      <c r="F24" s="232" t="s">
        <v>22</v>
      </c>
      <c r="G24" s="232"/>
      <c r="H24" s="232"/>
      <c r="I24" s="156"/>
      <c r="J24" s="31">
        <f>J22-J27-J26-J28</f>
        <v>-1.4438679999999962</v>
      </c>
      <c r="K24" s="77"/>
      <c r="L24" s="75"/>
      <c r="M24" s="3"/>
    </row>
    <row r="25" spans="1:13" ht="13.9" customHeight="1" x14ac:dyDescent="0.25">
      <c r="A25" s="229"/>
      <c r="B25" s="233" t="s">
        <v>65</v>
      </c>
      <c r="C25" s="233"/>
      <c r="D25" s="233"/>
      <c r="E25" s="55">
        <f>D226</f>
        <v>3672.6000000000013</v>
      </c>
      <c r="F25" s="234"/>
      <c r="G25" s="235"/>
      <c r="H25" s="235"/>
      <c r="I25" s="235"/>
      <c r="J25" s="236"/>
      <c r="K25" s="77"/>
      <c r="L25" s="75"/>
      <c r="M25" s="3"/>
    </row>
    <row r="26" spans="1:13" ht="27.75" customHeight="1" x14ac:dyDescent="0.25">
      <c r="A26" s="229"/>
      <c r="B26" s="233" t="s">
        <v>67</v>
      </c>
      <c r="C26" s="233"/>
      <c r="D26" s="233"/>
      <c r="E26" s="56">
        <f>SUM(D179,D187,D192,D205,D210:D211,D216,D223:D224)</f>
        <v>565.39999999999986</v>
      </c>
      <c r="F26" s="237" t="s">
        <v>83</v>
      </c>
      <c r="G26" s="238"/>
      <c r="H26" s="239"/>
      <c r="I26" s="156"/>
      <c r="J26" s="7">
        <f>I226</f>
        <v>3.3923999999999999</v>
      </c>
      <c r="K26" s="77"/>
      <c r="L26" s="75"/>
      <c r="M26" s="3"/>
    </row>
    <row r="27" spans="1:13" ht="27.75" customHeight="1" x14ac:dyDescent="0.25">
      <c r="A27" s="229"/>
      <c r="B27" s="240" t="s">
        <v>84</v>
      </c>
      <c r="C27" s="241"/>
      <c r="D27" s="241"/>
      <c r="E27" s="56">
        <f>SUM(D174:D178,D180:D186,D188:D191,D193:D204,D206:D209,D212:D215,D217:D222,D225)</f>
        <v>3107.2000000000003</v>
      </c>
      <c r="F27" s="232" t="s">
        <v>66</v>
      </c>
      <c r="G27" s="232"/>
      <c r="H27" s="232"/>
      <c r="I27" s="156"/>
      <c r="J27" s="7">
        <f>H226</f>
        <v>2.0524679999999966</v>
      </c>
      <c r="K27" s="77"/>
      <c r="L27" s="75"/>
      <c r="M27" s="3"/>
    </row>
    <row r="28" spans="1:13" ht="27.75" customHeight="1" thickBot="1" x14ac:dyDescent="0.3">
      <c r="A28" s="230"/>
      <c r="B28" s="242" t="s">
        <v>85</v>
      </c>
      <c r="C28" s="243"/>
      <c r="D28" s="243"/>
      <c r="E28" s="57">
        <v>0</v>
      </c>
      <c r="F28" s="244" t="s">
        <v>86</v>
      </c>
      <c r="G28" s="245"/>
      <c r="H28" s="246"/>
      <c r="I28" s="158"/>
      <c r="J28" s="46">
        <v>0</v>
      </c>
      <c r="K28" s="77"/>
      <c r="L28" s="75"/>
      <c r="M28" s="3"/>
    </row>
    <row r="29" spans="1:13" ht="25.5" customHeight="1" thickBot="1" x14ac:dyDescent="0.3">
      <c r="A29" s="226" t="s">
        <v>31</v>
      </c>
      <c r="B29" s="227"/>
      <c r="C29" s="227"/>
      <c r="D29" s="227"/>
      <c r="E29" s="227"/>
      <c r="F29" s="228" t="s">
        <v>23</v>
      </c>
      <c r="G29" s="228"/>
      <c r="H29" s="228"/>
      <c r="I29" s="154"/>
      <c r="J29" s="51">
        <v>3.7349999999999999</v>
      </c>
      <c r="K29" s="78"/>
      <c r="L29" s="75"/>
      <c r="M29" s="3"/>
    </row>
    <row r="30" spans="1:13" ht="13.9" customHeight="1" x14ac:dyDescent="0.25">
      <c r="A30" s="229"/>
      <c r="B30" s="231" t="s">
        <v>64</v>
      </c>
      <c r="C30" s="231"/>
      <c r="D30" s="231"/>
      <c r="E30" s="231"/>
      <c r="F30" s="231" t="s">
        <v>24</v>
      </c>
      <c r="G30" s="231"/>
      <c r="H30" s="231"/>
      <c r="I30" s="155"/>
      <c r="J30" s="45">
        <f>J34+J33+J35</f>
        <v>12.320595600000004</v>
      </c>
      <c r="K30" s="77"/>
      <c r="L30" s="75"/>
      <c r="M30" s="3"/>
    </row>
    <row r="31" spans="1:13" ht="13.9" customHeight="1" x14ac:dyDescent="0.25">
      <c r="A31" s="229"/>
      <c r="B31" s="232"/>
      <c r="C31" s="232"/>
      <c r="D31" s="232"/>
      <c r="E31" s="232"/>
      <c r="F31" s="232" t="s">
        <v>25</v>
      </c>
      <c r="G31" s="232"/>
      <c r="H31" s="232"/>
      <c r="I31" s="156"/>
      <c r="J31" s="31">
        <f>J29-J34-J33-J35</f>
        <v>-8.5855956000000031</v>
      </c>
      <c r="K31" s="77"/>
      <c r="L31" s="75"/>
      <c r="M31" s="3"/>
    </row>
    <row r="32" spans="1:13" ht="13.9" customHeight="1" x14ac:dyDescent="0.25">
      <c r="A32" s="229"/>
      <c r="B32" s="233" t="s">
        <v>65</v>
      </c>
      <c r="C32" s="233"/>
      <c r="D32" s="233"/>
      <c r="E32" s="55">
        <f>D292</f>
        <v>4660.1000000000022</v>
      </c>
      <c r="F32" s="234"/>
      <c r="G32" s="235"/>
      <c r="H32" s="235"/>
      <c r="I32" s="235"/>
      <c r="J32" s="236"/>
      <c r="K32" s="77"/>
      <c r="L32" s="75"/>
      <c r="M32" s="3"/>
    </row>
    <row r="33" spans="1:14" ht="26.25" customHeight="1" x14ac:dyDescent="0.25">
      <c r="A33" s="229"/>
      <c r="B33" s="233" t="s">
        <v>67</v>
      </c>
      <c r="C33" s="233"/>
      <c r="D33" s="233"/>
      <c r="E33" s="56">
        <f>SUM(D228:D229,D232,D238,D247:D251,D253,D255:D256,D258,D261,D263,D269:D270,D272,D275,D278,D280,D284:D286,D290)</f>
        <v>1631.8</v>
      </c>
      <c r="F33" s="237" t="s">
        <v>83</v>
      </c>
      <c r="G33" s="238"/>
      <c r="H33" s="239"/>
      <c r="I33" s="156"/>
      <c r="J33" s="7">
        <f>I292</f>
        <v>9.7907999999999991</v>
      </c>
      <c r="K33" s="77"/>
      <c r="L33" s="75"/>
      <c r="M33" s="3"/>
    </row>
    <row r="34" spans="1:14" ht="26.25" customHeight="1" x14ac:dyDescent="0.25">
      <c r="A34" s="229"/>
      <c r="B34" s="240" t="s">
        <v>84</v>
      </c>
      <c r="C34" s="241"/>
      <c r="D34" s="241"/>
      <c r="E34" s="56">
        <f>SUM(D227,D230:D231,D233:D237,D239:D246,D252,D254,D257,D259:D260,D262,D264:D268,D271,D273:D274,D276:D277,D279,D281:D283,D287:D289,D291)</f>
        <v>3028.3</v>
      </c>
      <c r="F34" s="232" t="s">
        <v>66</v>
      </c>
      <c r="G34" s="232"/>
      <c r="H34" s="232"/>
      <c r="I34" s="156"/>
      <c r="J34" s="7">
        <f>H292</f>
        <v>2.5297956000000044</v>
      </c>
      <c r="K34" s="77"/>
      <c r="L34" s="75"/>
      <c r="M34" s="3"/>
    </row>
    <row r="35" spans="1:14" ht="26.25" customHeight="1" thickBot="1" x14ac:dyDescent="0.3">
      <c r="A35" s="230"/>
      <c r="B35" s="242" t="s">
        <v>85</v>
      </c>
      <c r="C35" s="243"/>
      <c r="D35" s="243"/>
      <c r="E35" s="57">
        <v>0</v>
      </c>
      <c r="F35" s="244" t="s">
        <v>86</v>
      </c>
      <c r="G35" s="245"/>
      <c r="H35" s="246"/>
      <c r="I35" s="158"/>
      <c r="J35" s="46">
        <v>0</v>
      </c>
      <c r="K35" s="77"/>
      <c r="L35" s="75"/>
      <c r="M35" s="3"/>
    </row>
    <row r="36" spans="1:14" ht="13.9" customHeight="1" x14ac:dyDescent="0.25">
      <c r="A36" s="79"/>
      <c r="B36" s="79"/>
      <c r="C36" s="79"/>
      <c r="D36" s="79"/>
      <c r="E36" s="79"/>
      <c r="F36" s="204" t="s">
        <v>26</v>
      </c>
      <c r="G36" s="205"/>
      <c r="H36" s="206"/>
      <c r="I36" s="160"/>
      <c r="J36" s="223">
        <f>J8+J15+J22+J29</f>
        <v>15.901</v>
      </c>
      <c r="K36" s="80"/>
      <c r="L36" s="75"/>
      <c r="M36" s="3"/>
    </row>
    <row r="37" spans="1:14" ht="13.9" customHeight="1" x14ac:dyDescent="0.25">
      <c r="A37" s="79"/>
      <c r="B37" s="79"/>
      <c r="C37" s="79"/>
      <c r="D37" s="79"/>
      <c r="E37" s="79"/>
      <c r="F37" s="224" t="s">
        <v>27</v>
      </c>
      <c r="G37" s="225"/>
      <c r="H37" s="214"/>
      <c r="I37" s="79"/>
      <c r="J37" s="223"/>
      <c r="K37" s="80"/>
      <c r="L37" s="75"/>
      <c r="M37" s="3"/>
    </row>
    <row r="38" spans="1:14" ht="13.9" customHeight="1" x14ac:dyDescent="0.25">
      <c r="A38" s="79"/>
      <c r="B38" s="79"/>
      <c r="C38" s="79"/>
      <c r="D38" s="79"/>
      <c r="E38" s="79"/>
      <c r="F38" s="213" t="s">
        <v>28</v>
      </c>
      <c r="G38" s="214"/>
      <c r="H38" s="215"/>
      <c r="I38" s="81"/>
      <c r="J38" s="31">
        <f>J9+J16+J23+J30</f>
        <v>32.895492200000007</v>
      </c>
      <c r="K38" s="77"/>
      <c r="L38" s="75"/>
      <c r="M38" s="3"/>
    </row>
    <row r="39" spans="1:14" ht="13.9" customHeight="1" thickBot="1" x14ac:dyDescent="0.3">
      <c r="A39" s="79"/>
      <c r="B39" s="79"/>
      <c r="C39" s="79"/>
      <c r="D39" s="79"/>
      <c r="E39" s="79"/>
      <c r="F39" s="216" t="s">
        <v>9</v>
      </c>
      <c r="G39" s="217"/>
      <c r="H39" s="218"/>
      <c r="I39" s="82"/>
      <c r="J39" s="61">
        <f>J10+J17+J24+J31</f>
        <v>-16.994492200000003</v>
      </c>
      <c r="K39" s="77"/>
      <c r="L39" s="75"/>
      <c r="M39" s="3"/>
    </row>
    <row r="40" spans="1:14" ht="14.45" customHeight="1" x14ac:dyDescent="0.25">
      <c r="M40" s="3"/>
    </row>
    <row r="41" spans="1:14" s="11" customFormat="1" ht="61.5" customHeight="1" x14ac:dyDescent="0.25">
      <c r="A41" s="83" t="s">
        <v>0</v>
      </c>
      <c r="B41" s="83" t="s">
        <v>55</v>
      </c>
      <c r="C41" s="84" t="s">
        <v>1</v>
      </c>
      <c r="D41" s="83" t="s">
        <v>2</v>
      </c>
      <c r="E41" s="85" t="s">
        <v>132</v>
      </c>
      <c r="F41" s="85" t="s">
        <v>138</v>
      </c>
      <c r="G41" s="85" t="s">
        <v>33</v>
      </c>
      <c r="H41" s="85" t="s">
        <v>12</v>
      </c>
      <c r="I41" s="86" t="s">
        <v>87</v>
      </c>
      <c r="J41" s="63" t="s">
        <v>6</v>
      </c>
      <c r="K41" s="87" t="s">
        <v>13</v>
      </c>
      <c r="L41" s="88"/>
      <c r="M41" s="13"/>
      <c r="N41" s="185"/>
    </row>
    <row r="42" spans="1:14" x14ac:dyDescent="0.25">
      <c r="A42" s="1">
        <v>1</v>
      </c>
      <c r="B42" s="1"/>
      <c r="C42" s="66">
        <v>43441363</v>
      </c>
      <c r="D42" s="156">
        <v>112.5</v>
      </c>
      <c r="E42" s="5">
        <v>88.509</v>
      </c>
      <c r="F42" s="5">
        <v>88.509</v>
      </c>
      <c r="G42" s="28"/>
      <c r="H42" s="16">
        <f>G42*0.8598</f>
        <v>0</v>
      </c>
      <c r="I42" s="16">
        <f>(((D42*0.015)*12)/7)/30*7</f>
        <v>0.67500000000000004</v>
      </c>
      <c r="J42" s="16">
        <f>D42/($E$11-$E$13)*$J$10</f>
        <v>-0.50564591282251703</v>
      </c>
      <c r="K42" s="16">
        <f>H42+I42+J42</f>
        <v>0.16935408717748301</v>
      </c>
      <c r="M42" s="13" t="s">
        <v>71</v>
      </c>
    </row>
    <row r="43" spans="1:14" x14ac:dyDescent="0.25">
      <c r="A43" s="1">
        <v>2</v>
      </c>
      <c r="B43" s="47">
        <v>45915</v>
      </c>
      <c r="C43" s="66">
        <v>43242252</v>
      </c>
      <c r="D43" s="156">
        <v>58.7</v>
      </c>
      <c r="E43" s="5">
        <v>50.719000000000001</v>
      </c>
      <c r="F43" s="5">
        <v>50.776000000000003</v>
      </c>
      <c r="G43" s="28">
        <f>F43-E43</f>
        <v>5.700000000000216E-2</v>
      </c>
      <c r="H43" s="16">
        <f t="shared" ref="H43:H106" si="0">G43*0.8598</f>
        <v>4.9008600000001859E-2</v>
      </c>
      <c r="I43" s="16"/>
      <c r="J43" s="16"/>
      <c r="K43" s="16">
        <f>H43+I43+J43</f>
        <v>4.9008600000001859E-2</v>
      </c>
      <c r="M43" s="13" t="s">
        <v>69</v>
      </c>
    </row>
    <row r="44" spans="1:14" x14ac:dyDescent="0.25">
      <c r="A44" s="1">
        <v>3</v>
      </c>
      <c r="B44" s="52">
        <v>45686</v>
      </c>
      <c r="C44" s="10" t="s">
        <v>91</v>
      </c>
      <c r="D44" s="156">
        <v>50.5</v>
      </c>
      <c r="E44" s="39">
        <v>3.7202999999999999</v>
      </c>
      <c r="F44" s="39">
        <v>3.7519999999999998</v>
      </c>
      <c r="G44" s="5"/>
      <c r="H44" s="16">
        <f>F44-E44</f>
        <v>3.1699999999999839E-2</v>
      </c>
      <c r="I44" s="16"/>
      <c r="J44" s="16"/>
      <c r="K44" s="16">
        <f t="shared" ref="K44:K58" si="1">H44+I44+J44</f>
        <v>3.1699999999999839E-2</v>
      </c>
      <c r="M44" s="13" t="s">
        <v>69</v>
      </c>
    </row>
    <row r="45" spans="1:14" x14ac:dyDescent="0.25">
      <c r="A45" s="1">
        <v>4</v>
      </c>
      <c r="B45" s="34"/>
      <c r="C45" s="66">
        <v>43441362</v>
      </c>
      <c r="D45" s="156">
        <v>51.8</v>
      </c>
      <c r="E45" s="5">
        <v>35.363</v>
      </c>
      <c r="F45" s="5">
        <v>35.923999999999999</v>
      </c>
      <c r="G45" s="5"/>
      <c r="H45" s="16">
        <f t="shared" si="0"/>
        <v>0</v>
      </c>
      <c r="I45" s="16">
        <f>(((D45*0.015)*12)/7)/30*7</f>
        <v>0.31079999999999991</v>
      </c>
      <c r="J45" s="16">
        <f t="shared" ref="J45:J106" si="2">D45/($E$11-$E$13)*$J$10</f>
        <v>-0.23282185141516781</v>
      </c>
      <c r="K45" s="16">
        <f t="shared" si="1"/>
        <v>7.7978148584832097E-2</v>
      </c>
      <c r="M45" s="13" t="s">
        <v>71</v>
      </c>
    </row>
    <row r="46" spans="1:14" x14ac:dyDescent="0.25">
      <c r="A46" s="1">
        <v>5</v>
      </c>
      <c r="B46" s="47">
        <v>45598</v>
      </c>
      <c r="C46" s="66">
        <v>43242251</v>
      </c>
      <c r="D46" s="156">
        <v>52.9</v>
      </c>
      <c r="E46" s="5">
        <v>25.968</v>
      </c>
      <c r="F46" s="5">
        <v>25.968</v>
      </c>
      <c r="G46" s="5">
        <f>F46-E46</f>
        <v>0</v>
      </c>
      <c r="H46" s="16">
        <f t="shared" si="0"/>
        <v>0</v>
      </c>
      <c r="I46" s="16"/>
      <c r="J46" s="16"/>
      <c r="K46" s="16">
        <f t="shared" si="1"/>
        <v>0</v>
      </c>
      <c r="M46" s="13" t="s">
        <v>69</v>
      </c>
    </row>
    <row r="47" spans="1:14" x14ac:dyDescent="0.25">
      <c r="A47" s="1">
        <v>6</v>
      </c>
      <c r="B47" s="47">
        <v>45453</v>
      </c>
      <c r="C47" s="10" t="s">
        <v>56</v>
      </c>
      <c r="D47" s="156">
        <v>99.6</v>
      </c>
      <c r="E47" s="39">
        <v>10.851000000000001</v>
      </c>
      <c r="F47" s="39">
        <v>10.851000000000001</v>
      </c>
      <c r="G47" s="39"/>
      <c r="H47" s="16">
        <f>F47-E47</f>
        <v>0</v>
      </c>
      <c r="I47" s="16"/>
      <c r="J47" s="16"/>
      <c r="K47" s="16">
        <f t="shared" si="1"/>
        <v>0</v>
      </c>
      <c r="M47" s="13" t="s">
        <v>69</v>
      </c>
    </row>
    <row r="48" spans="1:14" x14ac:dyDescent="0.25">
      <c r="A48" s="1">
        <v>7</v>
      </c>
      <c r="B48" s="47">
        <v>45594</v>
      </c>
      <c r="C48" s="10" t="s">
        <v>70</v>
      </c>
      <c r="D48" s="156">
        <v>112.6</v>
      </c>
      <c r="E48" s="39">
        <v>13.654</v>
      </c>
      <c r="F48" s="39">
        <v>13.814</v>
      </c>
      <c r="G48" s="39"/>
      <c r="H48" s="16">
        <f>F48-E48</f>
        <v>0.16000000000000014</v>
      </c>
      <c r="I48" s="16"/>
      <c r="J48" s="16"/>
      <c r="K48" s="16">
        <f t="shared" si="1"/>
        <v>0.16000000000000014</v>
      </c>
      <c r="M48" s="13" t="s">
        <v>69</v>
      </c>
    </row>
    <row r="49" spans="1:13" x14ac:dyDescent="0.25">
      <c r="A49" s="1">
        <v>8</v>
      </c>
      <c r="B49" s="34"/>
      <c r="C49" s="66">
        <v>43441368</v>
      </c>
      <c r="D49" s="156">
        <v>62.5</v>
      </c>
      <c r="E49" s="5">
        <v>18.164999999999999</v>
      </c>
      <c r="F49" s="5">
        <v>18.164999999999999</v>
      </c>
      <c r="G49" s="5"/>
      <c r="H49" s="16">
        <f t="shared" si="0"/>
        <v>0</v>
      </c>
      <c r="I49" s="16">
        <f>(((D49*0.015)*12)/7)/30*7</f>
        <v>0.375</v>
      </c>
      <c r="J49" s="16">
        <f t="shared" si="2"/>
        <v>-0.28091439601250945</v>
      </c>
      <c r="K49" s="16">
        <f t="shared" si="1"/>
        <v>9.4085603987490551E-2</v>
      </c>
      <c r="M49" s="13" t="s">
        <v>71</v>
      </c>
    </row>
    <row r="50" spans="1:13" x14ac:dyDescent="0.25">
      <c r="A50" s="1">
        <v>9</v>
      </c>
      <c r="B50" s="47">
        <v>46160</v>
      </c>
      <c r="C50" s="66">
        <v>43441366</v>
      </c>
      <c r="D50" s="156">
        <v>50.5</v>
      </c>
      <c r="E50" s="5">
        <v>44.482999999999997</v>
      </c>
      <c r="F50" s="5">
        <v>44.551000000000002</v>
      </c>
      <c r="G50" s="5">
        <f>F50-E50</f>
        <v>6.8000000000004945E-2</v>
      </c>
      <c r="H50" s="16">
        <f t="shared" si="0"/>
        <v>5.8466400000004255E-2</v>
      </c>
      <c r="I50" s="16"/>
      <c r="J50" s="16"/>
      <c r="K50" s="16">
        <f t="shared" si="1"/>
        <v>5.8466400000004255E-2</v>
      </c>
      <c r="M50" s="13" t="s">
        <v>69</v>
      </c>
    </row>
    <row r="51" spans="1:13" x14ac:dyDescent="0.25">
      <c r="A51" s="1">
        <v>10</v>
      </c>
      <c r="B51" s="47">
        <v>45746</v>
      </c>
      <c r="C51" s="66">
        <v>43441367</v>
      </c>
      <c r="D51" s="156">
        <v>52.3</v>
      </c>
      <c r="E51" s="5">
        <v>14.957000000000001</v>
      </c>
      <c r="F51" s="5">
        <v>14.957000000000001</v>
      </c>
      <c r="G51" s="5">
        <f>F51-E51</f>
        <v>0</v>
      </c>
      <c r="H51" s="16">
        <f t="shared" si="0"/>
        <v>0</v>
      </c>
      <c r="I51" s="16"/>
      <c r="J51" s="16"/>
      <c r="K51" s="16">
        <f t="shared" si="1"/>
        <v>0</v>
      </c>
      <c r="M51" s="13" t="s">
        <v>69</v>
      </c>
    </row>
    <row r="52" spans="1:13" x14ac:dyDescent="0.25">
      <c r="A52" s="1">
        <v>11</v>
      </c>
      <c r="B52" s="47">
        <v>46262</v>
      </c>
      <c r="C52" s="66" t="s">
        <v>139</v>
      </c>
      <c r="D52" s="156">
        <v>53</v>
      </c>
      <c r="E52" s="5">
        <v>0</v>
      </c>
      <c r="F52" s="5">
        <v>1.7000000000000001E-2</v>
      </c>
      <c r="G52" s="5"/>
      <c r="H52" s="16">
        <f>F52-E52</f>
        <v>1.7000000000000001E-2</v>
      </c>
      <c r="I52" s="16"/>
      <c r="J52" s="16"/>
      <c r="K52" s="16">
        <f t="shared" si="1"/>
        <v>1.7000000000000001E-2</v>
      </c>
      <c r="M52" s="13" t="s">
        <v>69</v>
      </c>
    </row>
    <row r="53" spans="1:13" x14ac:dyDescent="0.25">
      <c r="A53" s="1">
        <v>12</v>
      </c>
      <c r="B53" s="47">
        <v>45600</v>
      </c>
      <c r="C53" s="66">
        <v>43441365</v>
      </c>
      <c r="D53" s="156">
        <v>100.2</v>
      </c>
      <c r="E53" s="5">
        <v>56.863999999999997</v>
      </c>
      <c r="F53" s="5">
        <v>57.048000000000002</v>
      </c>
      <c r="G53" s="5">
        <f>F53-E53</f>
        <v>0.1840000000000046</v>
      </c>
      <c r="H53" s="16">
        <f>G53*0.8598</f>
        <v>0.15820320000000396</v>
      </c>
      <c r="I53" s="16"/>
      <c r="J53" s="16"/>
      <c r="K53" s="16">
        <f t="shared" si="1"/>
        <v>0.15820320000000396</v>
      </c>
      <c r="M53" s="13" t="s">
        <v>69</v>
      </c>
    </row>
    <row r="54" spans="1:13" x14ac:dyDescent="0.25">
      <c r="A54" s="1">
        <v>13</v>
      </c>
      <c r="B54" s="33"/>
      <c r="C54" s="67">
        <v>43441377</v>
      </c>
      <c r="D54" s="156">
        <v>112.4</v>
      </c>
      <c r="E54" s="5">
        <v>70.981999999999999</v>
      </c>
      <c r="F54" s="5">
        <v>71.17</v>
      </c>
      <c r="G54" s="5"/>
      <c r="H54" s="16">
        <f t="shared" si="0"/>
        <v>0</v>
      </c>
      <c r="I54" s="16">
        <f>(((D54*0.015)*12)/7)/30*7</f>
        <v>0.67439999999999989</v>
      </c>
      <c r="J54" s="16">
        <f t="shared" si="2"/>
        <v>-0.505196449788897</v>
      </c>
      <c r="K54" s="16">
        <f t="shared" si="1"/>
        <v>0.16920355021110289</v>
      </c>
      <c r="M54" s="13" t="s">
        <v>71</v>
      </c>
    </row>
    <row r="55" spans="1:13" x14ac:dyDescent="0.25">
      <c r="A55" s="1">
        <v>14</v>
      </c>
      <c r="B55" s="47">
        <v>46854</v>
      </c>
      <c r="C55" s="10" t="s">
        <v>140</v>
      </c>
      <c r="D55" s="156">
        <v>63.8</v>
      </c>
      <c r="E55" s="39">
        <v>0</v>
      </c>
      <c r="F55" s="39">
        <v>0.224</v>
      </c>
      <c r="G55" s="5"/>
      <c r="H55" s="16">
        <f>F55-E55</f>
        <v>0.224</v>
      </c>
      <c r="I55" s="16"/>
      <c r="J55" s="16"/>
      <c r="K55" s="16">
        <f t="shared" si="1"/>
        <v>0.224</v>
      </c>
      <c r="M55" s="13" t="s">
        <v>69</v>
      </c>
    </row>
    <row r="56" spans="1:13" x14ac:dyDescent="0.25">
      <c r="A56" s="1">
        <v>15</v>
      </c>
      <c r="B56" s="33"/>
      <c r="C56" s="66">
        <v>43441369</v>
      </c>
      <c r="D56" s="156">
        <v>50.9</v>
      </c>
      <c r="E56" s="5">
        <v>38.716999999999999</v>
      </c>
      <c r="F56" s="5">
        <v>38.835999999999999</v>
      </c>
      <c r="G56" s="5"/>
      <c r="H56" s="16">
        <f t="shared" si="0"/>
        <v>0</v>
      </c>
      <c r="I56" s="16">
        <f>(((D56*0.015)*12)/7)/30*7</f>
        <v>0.3054</v>
      </c>
      <c r="J56" s="16">
        <f t="shared" si="2"/>
        <v>-0.22877668411258767</v>
      </c>
      <c r="K56" s="16">
        <f t="shared" si="1"/>
        <v>7.6623315887412335E-2</v>
      </c>
      <c r="M56" s="13" t="s">
        <v>71</v>
      </c>
    </row>
    <row r="57" spans="1:13" x14ac:dyDescent="0.25">
      <c r="A57" s="1">
        <v>16</v>
      </c>
      <c r="B57" s="47">
        <v>45900</v>
      </c>
      <c r="C57" s="66">
        <v>43441375</v>
      </c>
      <c r="D57" s="156">
        <v>52.4</v>
      </c>
      <c r="E57" s="5">
        <v>28.28</v>
      </c>
      <c r="F57" s="5">
        <v>28.28</v>
      </c>
      <c r="G57" s="5">
        <f>F57-E57</f>
        <v>0</v>
      </c>
      <c r="H57" s="16">
        <f t="shared" si="0"/>
        <v>0</v>
      </c>
      <c r="I57" s="16"/>
      <c r="J57" s="16"/>
      <c r="K57" s="16">
        <f t="shared" si="1"/>
        <v>0</v>
      </c>
      <c r="M57" s="13" t="s">
        <v>69</v>
      </c>
    </row>
    <row r="58" spans="1:13" x14ac:dyDescent="0.25">
      <c r="A58" s="1">
        <v>17</v>
      </c>
      <c r="B58" s="47">
        <v>45595</v>
      </c>
      <c r="C58" s="66">
        <v>43441376</v>
      </c>
      <c r="D58" s="156">
        <v>53.3</v>
      </c>
      <c r="E58" s="5">
        <v>51.494999999999997</v>
      </c>
      <c r="F58" s="5">
        <v>51.616999999999997</v>
      </c>
      <c r="G58" s="5">
        <f>F58-E58</f>
        <v>0.12199999999999989</v>
      </c>
      <c r="H58" s="16">
        <f>G58*0.8598</f>
        <v>0.10489559999999991</v>
      </c>
      <c r="I58" s="16"/>
      <c r="J58" s="16"/>
      <c r="K58" s="16">
        <f t="shared" si="1"/>
        <v>0.10489559999999991</v>
      </c>
      <c r="M58" s="13" t="s">
        <v>69</v>
      </c>
    </row>
    <row r="59" spans="1:13" ht="15.75" customHeight="1" x14ac:dyDescent="0.25">
      <c r="A59" s="1">
        <v>18</v>
      </c>
      <c r="B59" s="47">
        <v>45700</v>
      </c>
      <c r="C59" s="66">
        <v>43441361</v>
      </c>
      <c r="D59" s="156">
        <v>100.6</v>
      </c>
      <c r="E59" s="5">
        <v>5.0519999999999996</v>
      </c>
      <c r="F59" s="5">
        <v>5.0519999999999996</v>
      </c>
      <c r="G59" s="5">
        <f>F59-E59</f>
        <v>0</v>
      </c>
      <c r="H59" s="16">
        <f t="shared" si="0"/>
        <v>0</v>
      </c>
      <c r="I59" s="16"/>
      <c r="J59" s="16"/>
      <c r="K59" s="16">
        <f>H59+I59+J59</f>
        <v>0</v>
      </c>
      <c r="M59" s="13" t="s">
        <v>69</v>
      </c>
    </row>
    <row r="60" spans="1:13" x14ac:dyDescent="0.25">
      <c r="A60" s="1">
        <v>19</v>
      </c>
      <c r="B60" s="47">
        <v>45767</v>
      </c>
      <c r="C60" s="66">
        <v>43441266</v>
      </c>
      <c r="D60" s="156">
        <v>112.4</v>
      </c>
      <c r="E60" s="5">
        <v>47.314</v>
      </c>
      <c r="F60" s="5">
        <v>47.314</v>
      </c>
      <c r="G60" s="5">
        <f>F60-E60</f>
        <v>0</v>
      </c>
      <c r="H60" s="16">
        <f t="shared" si="0"/>
        <v>0</v>
      </c>
      <c r="I60" s="16"/>
      <c r="J60" s="16"/>
      <c r="K60" s="16">
        <f t="shared" ref="K60:K114" si="3">H60+I60+J60</f>
        <v>0</v>
      </c>
      <c r="M60" s="13" t="s">
        <v>69</v>
      </c>
    </row>
    <row r="61" spans="1:13" x14ac:dyDescent="0.25">
      <c r="A61" s="1">
        <v>20</v>
      </c>
      <c r="B61" s="47">
        <v>45955</v>
      </c>
      <c r="C61" s="66" t="s">
        <v>107</v>
      </c>
      <c r="D61" s="156">
        <v>63</v>
      </c>
      <c r="E61" s="39">
        <v>2.0505</v>
      </c>
      <c r="F61" s="39">
        <v>2.0880000000000001</v>
      </c>
      <c r="G61" s="5"/>
      <c r="H61" s="16">
        <f>F61-E61</f>
        <v>3.7500000000000089E-2</v>
      </c>
      <c r="I61" s="16"/>
      <c r="J61" s="16"/>
      <c r="K61" s="16">
        <f t="shared" si="3"/>
        <v>3.7500000000000089E-2</v>
      </c>
      <c r="M61" s="13" t="s">
        <v>69</v>
      </c>
    </row>
    <row r="62" spans="1:13" x14ac:dyDescent="0.25">
      <c r="A62" s="1">
        <v>21</v>
      </c>
      <c r="B62" s="33"/>
      <c r="C62" s="66">
        <v>43441274</v>
      </c>
      <c r="D62" s="156">
        <v>50.5</v>
      </c>
      <c r="E62" s="5">
        <v>35.843000000000004</v>
      </c>
      <c r="F62" s="5">
        <v>35.848999999999997</v>
      </c>
      <c r="G62" s="5"/>
      <c r="H62" s="16">
        <f t="shared" si="0"/>
        <v>0</v>
      </c>
      <c r="I62" s="16">
        <f>(((D62*0.015)*12)/7)/30*7</f>
        <v>0.30299999999999999</v>
      </c>
      <c r="J62" s="16">
        <f t="shared" si="2"/>
        <v>-0.22697883197810761</v>
      </c>
      <c r="K62" s="16">
        <f t="shared" si="3"/>
        <v>7.6021168021892377E-2</v>
      </c>
      <c r="M62" s="13" t="s">
        <v>71</v>
      </c>
    </row>
    <row r="63" spans="1:13" x14ac:dyDescent="0.25">
      <c r="A63" s="1">
        <v>22</v>
      </c>
      <c r="B63" s="48">
        <v>45734</v>
      </c>
      <c r="C63" s="66">
        <v>43441273</v>
      </c>
      <c r="D63" s="156">
        <v>52.4</v>
      </c>
      <c r="E63" s="5">
        <v>33.716000000000001</v>
      </c>
      <c r="F63" s="5">
        <v>33.798999999999999</v>
      </c>
      <c r="G63" s="5">
        <f t="shared" ref="G63:G68" si="4">F63-E63</f>
        <v>8.2999999999998408E-2</v>
      </c>
      <c r="H63" s="16">
        <f t="shared" si="0"/>
        <v>7.1363399999998633E-2</v>
      </c>
      <c r="I63" s="16"/>
      <c r="J63" s="16"/>
      <c r="K63" s="16">
        <f t="shared" si="3"/>
        <v>7.1363399999998633E-2</v>
      </c>
      <c r="M63" s="13" t="s">
        <v>69</v>
      </c>
    </row>
    <row r="64" spans="1:13" x14ac:dyDescent="0.25">
      <c r="A64" s="1">
        <v>23</v>
      </c>
      <c r="B64" s="47">
        <v>45774</v>
      </c>
      <c r="C64" s="66">
        <v>43441371</v>
      </c>
      <c r="D64" s="156">
        <v>53.1</v>
      </c>
      <c r="E64" s="5">
        <v>12.071</v>
      </c>
      <c r="F64" s="5">
        <v>12.099</v>
      </c>
      <c r="G64" s="5">
        <f t="shared" si="4"/>
        <v>2.8000000000000469E-2</v>
      </c>
      <c r="H64" s="16">
        <f t="shared" si="0"/>
        <v>2.4074400000000402E-2</v>
      </c>
      <c r="I64" s="16"/>
      <c r="J64" s="16"/>
      <c r="K64" s="16">
        <f t="shared" si="3"/>
        <v>2.4074400000000402E-2</v>
      </c>
      <c r="M64" s="13" t="s">
        <v>69</v>
      </c>
    </row>
    <row r="65" spans="1:13" x14ac:dyDescent="0.25">
      <c r="A65" s="1">
        <v>24</v>
      </c>
      <c r="B65" s="47">
        <v>46156</v>
      </c>
      <c r="C65" s="66" t="s">
        <v>141</v>
      </c>
      <c r="D65" s="156">
        <v>100.7</v>
      </c>
      <c r="E65" s="39">
        <v>0</v>
      </c>
      <c r="F65" s="39">
        <v>0.11799999999999999</v>
      </c>
      <c r="G65" s="5"/>
      <c r="H65" s="16">
        <f>F65-E65</f>
        <v>0.11799999999999999</v>
      </c>
      <c r="I65" s="16"/>
      <c r="J65" s="16"/>
      <c r="K65" s="16">
        <f t="shared" si="3"/>
        <v>0.11799999999999999</v>
      </c>
      <c r="M65" s="13" t="s">
        <v>69</v>
      </c>
    </row>
    <row r="66" spans="1:13" x14ac:dyDescent="0.25">
      <c r="A66" s="1">
        <v>25</v>
      </c>
      <c r="B66" s="33" t="s">
        <v>100</v>
      </c>
      <c r="C66" s="66">
        <v>43441275</v>
      </c>
      <c r="D66" s="156">
        <v>112.5</v>
      </c>
      <c r="E66" s="5">
        <v>62.148000000000003</v>
      </c>
      <c r="F66" s="5">
        <v>62.445999999999998</v>
      </c>
      <c r="G66" s="5">
        <f t="shared" si="4"/>
        <v>0.29799999999999471</v>
      </c>
      <c r="H66" s="16">
        <f t="shared" si="0"/>
        <v>0.25622039999999546</v>
      </c>
      <c r="I66" s="16"/>
      <c r="J66" s="16"/>
      <c r="K66" s="16">
        <f t="shared" si="3"/>
        <v>0.25622039999999546</v>
      </c>
      <c r="M66" s="13" t="s">
        <v>69</v>
      </c>
    </row>
    <row r="67" spans="1:13" x14ac:dyDescent="0.25">
      <c r="A67" s="1">
        <v>26</v>
      </c>
      <c r="B67" s="47">
        <v>45803</v>
      </c>
      <c r="C67" s="66">
        <v>43441269</v>
      </c>
      <c r="D67" s="156">
        <v>62.5</v>
      </c>
      <c r="E67" s="5">
        <v>15.614000000000001</v>
      </c>
      <c r="F67" s="5">
        <v>15.614000000000001</v>
      </c>
      <c r="G67" s="5">
        <f t="shared" si="4"/>
        <v>0</v>
      </c>
      <c r="H67" s="16">
        <f t="shared" si="0"/>
        <v>0</v>
      </c>
      <c r="I67" s="16"/>
      <c r="J67" s="16"/>
      <c r="K67" s="16">
        <f t="shared" si="3"/>
        <v>0</v>
      </c>
      <c r="M67" s="13" t="s">
        <v>69</v>
      </c>
    </row>
    <row r="68" spans="1:13" x14ac:dyDescent="0.25">
      <c r="A68" s="1">
        <v>27</v>
      </c>
      <c r="B68" s="47">
        <v>45725</v>
      </c>
      <c r="C68" s="66">
        <v>43441270</v>
      </c>
      <c r="D68" s="156">
        <v>51.2</v>
      </c>
      <c r="E68" s="5">
        <v>1.262</v>
      </c>
      <c r="F68" s="5">
        <v>1.2669999999999999</v>
      </c>
      <c r="G68" s="5">
        <f t="shared" si="4"/>
        <v>4.9999999999998934E-3</v>
      </c>
      <c r="H68" s="16">
        <f>G68*0.8598</f>
        <v>4.2989999999999088E-3</v>
      </c>
      <c r="I68" s="16"/>
      <c r="J68" s="16"/>
      <c r="K68" s="16">
        <f t="shared" si="3"/>
        <v>4.2989999999999088E-3</v>
      </c>
      <c r="M68" s="13" t="s">
        <v>69</v>
      </c>
    </row>
    <row r="69" spans="1:13" x14ac:dyDescent="0.25">
      <c r="A69" s="1">
        <v>28</v>
      </c>
      <c r="B69" s="33"/>
      <c r="C69" s="66">
        <v>43441264</v>
      </c>
      <c r="D69" s="156">
        <v>52.5</v>
      </c>
      <c r="E69" s="5">
        <v>24.629000000000001</v>
      </c>
      <c r="F69" s="5">
        <v>24.629000000000001</v>
      </c>
      <c r="G69" s="5"/>
      <c r="H69" s="16">
        <f t="shared" si="0"/>
        <v>0</v>
      </c>
      <c r="I69" s="16">
        <f>(((D69*0.015)*12)/7)/30*7</f>
        <v>0.315</v>
      </c>
      <c r="J69" s="16">
        <f t="shared" si="2"/>
        <v>-0.23596809265050794</v>
      </c>
      <c r="K69" s="16">
        <f t="shared" si="3"/>
        <v>7.9031907349492059E-2</v>
      </c>
      <c r="M69" s="13" t="s">
        <v>71</v>
      </c>
    </row>
    <row r="70" spans="1:13" x14ac:dyDescent="0.25">
      <c r="A70" s="1">
        <v>29</v>
      </c>
      <c r="B70" s="47">
        <v>45718</v>
      </c>
      <c r="C70" s="66">
        <v>43441272</v>
      </c>
      <c r="D70" s="156">
        <v>52.8</v>
      </c>
      <c r="E70" s="5">
        <v>23.338999999999999</v>
      </c>
      <c r="F70" s="5">
        <v>23.34</v>
      </c>
      <c r="G70" s="5">
        <f>F70-E70</f>
        <v>1.0000000000012221E-3</v>
      </c>
      <c r="H70" s="16">
        <f t="shared" si="0"/>
        <v>8.5980000000105078E-4</v>
      </c>
      <c r="I70" s="16"/>
      <c r="J70" s="16"/>
      <c r="K70" s="16">
        <f t="shared" si="3"/>
        <v>8.5980000000105078E-4</v>
      </c>
      <c r="M70" s="13" t="s">
        <v>69</v>
      </c>
    </row>
    <row r="71" spans="1:13" x14ac:dyDescent="0.25">
      <c r="A71" s="1">
        <v>30</v>
      </c>
      <c r="B71" s="48">
        <v>45734</v>
      </c>
      <c r="C71" s="66">
        <v>43441265</v>
      </c>
      <c r="D71" s="156">
        <v>101.4</v>
      </c>
      <c r="E71" s="5">
        <v>36.843000000000004</v>
      </c>
      <c r="F71" s="5">
        <v>36.863</v>
      </c>
      <c r="G71" s="5">
        <f>F71-E71</f>
        <v>1.9999999999996021E-2</v>
      </c>
      <c r="H71" s="16">
        <f t="shared" si="0"/>
        <v>1.7195999999996579E-2</v>
      </c>
      <c r="I71" s="16"/>
      <c r="J71" s="16"/>
      <c r="K71" s="16">
        <f t="shared" si="3"/>
        <v>1.7195999999996579E-2</v>
      </c>
      <c r="M71" s="13" t="s">
        <v>69</v>
      </c>
    </row>
    <row r="72" spans="1:13" x14ac:dyDescent="0.25">
      <c r="A72" s="1">
        <v>31</v>
      </c>
      <c r="B72" s="33"/>
      <c r="C72" s="66">
        <v>43441277</v>
      </c>
      <c r="D72" s="156">
        <v>112.5</v>
      </c>
      <c r="E72" s="5">
        <v>82.775000000000006</v>
      </c>
      <c r="F72" s="5">
        <v>83.025000000000006</v>
      </c>
      <c r="G72" s="5"/>
      <c r="H72" s="16">
        <f t="shared" si="0"/>
        <v>0</v>
      </c>
      <c r="I72" s="16">
        <f>(((D72*0.015)*12)/7)/30*7</f>
        <v>0.67500000000000004</v>
      </c>
      <c r="J72" s="16">
        <f t="shared" si="2"/>
        <v>-0.50564591282251703</v>
      </c>
      <c r="K72" s="16">
        <f t="shared" si="3"/>
        <v>0.16935408717748301</v>
      </c>
      <c r="M72" s="13" t="s">
        <v>71</v>
      </c>
    </row>
    <row r="73" spans="1:13" x14ac:dyDescent="0.25">
      <c r="A73" s="1">
        <v>32</v>
      </c>
      <c r="B73" s="47">
        <v>45923</v>
      </c>
      <c r="C73" s="66">
        <v>43441276</v>
      </c>
      <c r="D73" s="156">
        <v>63.1</v>
      </c>
      <c r="E73" s="5">
        <v>51.552</v>
      </c>
      <c r="F73" s="5">
        <v>51.558999999999997</v>
      </c>
      <c r="G73" s="5">
        <f>F73-E73</f>
        <v>6.9999999999978968E-3</v>
      </c>
      <c r="H73" s="16">
        <f t="shared" si="0"/>
        <v>6.0185999999981914E-3</v>
      </c>
      <c r="I73" s="16"/>
      <c r="J73" s="16"/>
      <c r="K73" s="16">
        <f t="shared" si="3"/>
        <v>6.0185999999981914E-3</v>
      </c>
      <c r="M73" s="13" t="s">
        <v>69</v>
      </c>
    </row>
    <row r="74" spans="1:13" x14ac:dyDescent="0.25">
      <c r="A74" s="1">
        <v>33</v>
      </c>
      <c r="B74" s="47">
        <v>45865</v>
      </c>
      <c r="C74" s="66">
        <v>43441279</v>
      </c>
      <c r="D74" s="156">
        <v>50.9</v>
      </c>
      <c r="E74" s="5">
        <v>49.003</v>
      </c>
      <c r="F74" s="5">
        <v>49.005000000000003</v>
      </c>
      <c r="G74" s="5">
        <f>F74-E74</f>
        <v>2.0000000000024443E-3</v>
      </c>
      <c r="H74" s="16">
        <f t="shared" si="0"/>
        <v>1.7196000000021016E-3</v>
      </c>
      <c r="I74" s="16"/>
      <c r="J74" s="16"/>
      <c r="K74" s="16">
        <f t="shared" si="3"/>
        <v>1.7196000000021016E-3</v>
      </c>
      <c r="M74" s="13" t="s">
        <v>69</v>
      </c>
    </row>
    <row r="75" spans="1:13" x14ac:dyDescent="0.25">
      <c r="A75" s="1">
        <v>34</v>
      </c>
      <c r="B75" s="47">
        <v>46279</v>
      </c>
      <c r="C75" s="66">
        <v>43441281</v>
      </c>
      <c r="D75" s="156">
        <v>52.2</v>
      </c>
      <c r="E75" s="5">
        <v>39.488999999999997</v>
      </c>
      <c r="F75" s="5">
        <v>39.488999999999997</v>
      </c>
      <c r="G75" s="5">
        <f>F75-E75</f>
        <v>0</v>
      </c>
      <c r="H75" s="16">
        <f t="shared" si="0"/>
        <v>0</v>
      </c>
      <c r="I75" s="16"/>
      <c r="J75" s="16"/>
      <c r="K75" s="16">
        <f t="shared" si="3"/>
        <v>0</v>
      </c>
      <c r="M75" s="13" t="s">
        <v>69</v>
      </c>
    </row>
    <row r="76" spans="1:13" x14ac:dyDescent="0.25">
      <c r="A76" s="1">
        <v>35</v>
      </c>
      <c r="B76" s="47">
        <v>46249</v>
      </c>
      <c r="C76" s="66">
        <v>43441282</v>
      </c>
      <c r="D76" s="156">
        <v>53</v>
      </c>
      <c r="E76" s="5">
        <v>42.213000000000001</v>
      </c>
      <c r="F76" s="5">
        <v>42.304000000000002</v>
      </c>
      <c r="G76" s="5">
        <f>F76-E76</f>
        <v>9.100000000000108E-2</v>
      </c>
      <c r="H76" s="16">
        <f t="shared" si="0"/>
        <v>7.824180000000093E-2</v>
      </c>
      <c r="I76" s="16"/>
      <c r="J76" s="16"/>
      <c r="K76" s="16">
        <f t="shared" si="3"/>
        <v>7.824180000000093E-2</v>
      </c>
      <c r="M76" s="13" t="s">
        <v>69</v>
      </c>
    </row>
    <row r="77" spans="1:13" x14ac:dyDescent="0.25">
      <c r="A77" s="1">
        <v>36</v>
      </c>
      <c r="B77" s="33"/>
      <c r="C77" s="66">
        <v>43441280</v>
      </c>
      <c r="D77" s="156">
        <v>103.1</v>
      </c>
      <c r="E77" s="5">
        <v>70.209000000000003</v>
      </c>
      <c r="F77" s="5">
        <v>70.42</v>
      </c>
      <c r="G77" s="5"/>
      <c r="H77" s="16">
        <f t="shared" si="0"/>
        <v>0</v>
      </c>
      <c r="I77" s="16">
        <f>(((D77*0.015)*12)/7)/30*7</f>
        <v>0.61859999999999993</v>
      </c>
      <c r="J77" s="16">
        <f t="shared" si="2"/>
        <v>-0.46339638766223556</v>
      </c>
      <c r="K77" s="16">
        <f t="shared" si="3"/>
        <v>0.15520361233776436</v>
      </c>
      <c r="M77" s="13" t="s">
        <v>71</v>
      </c>
    </row>
    <row r="78" spans="1:13" x14ac:dyDescent="0.25">
      <c r="A78" s="1">
        <v>37</v>
      </c>
      <c r="B78" s="47">
        <v>46651</v>
      </c>
      <c r="C78" s="10" t="s">
        <v>101</v>
      </c>
      <c r="D78" s="156">
        <v>112.4</v>
      </c>
      <c r="E78" s="39">
        <v>10.518000000000001</v>
      </c>
      <c r="F78" s="39">
        <v>10.518000000000001</v>
      </c>
      <c r="G78" s="5"/>
      <c r="H78" s="16">
        <f>F78-E78</f>
        <v>0</v>
      </c>
      <c r="I78" s="16"/>
      <c r="J78" s="16"/>
      <c r="K78" s="16">
        <f t="shared" si="3"/>
        <v>0</v>
      </c>
      <c r="M78" s="13" t="s">
        <v>69</v>
      </c>
    </row>
    <row r="79" spans="1:13" x14ac:dyDescent="0.25">
      <c r="A79" s="1">
        <v>38</v>
      </c>
      <c r="B79" s="47">
        <v>45946</v>
      </c>
      <c r="C79" s="66">
        <v>43441344</v>
      </c>
      <c r="D79" s="156">
        <v>62.8</v>
      </c>
      <c r="E79" s="5">
        <v>33.78</v>
      </c>
      <c r="F79" s="5">
        <v>33.831000000000003</v>
      </c>
      <c r="G79" s="5">
        <f>F79-E79</f>
        <v>5.1000000000001933E-2</v>
      </c>
      <c r="H79" s="16">
        <f t="shared" si="0"/>
        <v>4.384980000000166E-2</v>
      </c>
      <c r="I79" s="16"/>
      <c r="J79" s="16"/>
      <c r="K79" s="16">
        <f t="shared" si="3"/>
        <v>4.384980000000166E-2</v>
      </c>
      <c r="M79" s="13" t="s">
        <v>69</v>
      </c>
    </row>
    <row r="80" spans="1:13" x14ac:dyDescent="0.25">
      <c r="A80" s="1">
        <v>39</v>
      </c>
      <c r="B80" s="33"/>
      <c r="C80" s="66">
        <v>43441341</v>
      </c>
      <c r="D80" s="156">
        <v>50.5</v>
      </c>
      <c r="E80" s="5">
        <v>11.178000000000001</v>
      </c>
      <c r="F80" s="5">
        <v>11.178000000000001</v>
      </c>
      <c r="G80" s="5"/>
      <c r="H80" s="16">
        <f t="shared" si="0"/>
        <v>0</v>
      </c>
      <c r="I80" s="16">
        <f>(((D80*0.015)*12)/7)/30*7</f>
        <v>0.30299999999999999</v>
      </c>
      <c r="J80" s="16">
        <f t="shared" si="2"/>
        <v>-0.22697883197810761</v>
      </c>
      <c r="K80" s="16">
        <f t="shared" si="3"/>
        <v>7.6021168021892377E-2</v>
      </c>
      <c r="M80" s="13" t="s">
        <v>71</v>
      </c>
    </row>
    <row r="81" spans="1:13" x14ac:dyDescent="0.25">
      <c r="A81" s="1">
        <v>40</v>
      </c>
      <c r="B81" s="47">
        <v>45594</v>
      </c>
      <c r="C81" s="10" t="s">
        <v>72</v>
      </c>
      <c r="D81" s="156">
        <v>52.3</v>
      </c>
      <c r="E81" s="39">
        <v>1.8176000000000001</v>
      </c>
      <c r="F81" s="39">
        <v>1.8176000000000001</v>
      </c>
      <c r="G81" s="39"/>
      <c r="H81" s="16">
        <f>F81-E81</f>
        <v>0</v>
      </c>
      <c r="I81" s="16"/>
      <c r="J81" s="16"/>
      <c r="K81" s="16">
        <f t="shared" si="3"/>
        <v>0</v>
      </c>
      <c r="M81" s="13" t="s">
        <v>69</v>
      </c>
    </row>
    <row r="82" spans="1:13" x14ac:dyDescent="0.25">
      <c r="A82" s="1">
        <v>41</v>
      </c>
      <c r="B82" s="47">
        <v>45573</v>
      </c>
      <c r="C82" s="66">
        <v>43441283</v>
      </c>
      <c r="D82" s="156">
        <v>53</v>
      </c>
      <c r="E82" s="5">
        <v>15.311999999999999</v>
      </c>
      <c r="F82" s="5">
        <v>15.311999999999999</v>
      </c>
      <c r="G82" s="5">
        <f>F82-E82</f>
        <v>0</v>
      </c>
      <c r="H82" s="16">
        <f t="shared" si="0"/>
        <v>0</v>
      </c>
      <c r="I82" s="16"/>
      <c r="J82" s="16"/>
      <c r="K82" s="16">
        <f t="shared" si="3"/>
        <v>0</v>
      </c>
      <c r="M82" s="13" t="s">
        <v>69</v>
      </c>
    </row>
    <row r="83" spans="1:13" x14ac:dyDescent="0.25">
      <c r="A83" s="1">
        <v>42</v>
      </c>
      <c r="B83" s="47">
        <v>45459</v>
      </c>
      <c r="C83" s="10" t="s">
        <v>57</v>
      </c>
      <c r="D83" s="156">
        <v>100.1</v>
      </c>
      <c r="E83" s="39">
        <v>13.236000000000001</v>
      </c>
      <c r="F83" s="39">
        <v>13.236000000000001</v>
      </c>
      <c r="G83" s="39"/>
      <c r="H83" s="16">
        <f>F83-E83</f>
        <v>0</v>
      </c>
      <c r="I83" s="16"/>
      <c r="J83" s="16"/>
      <c r="K83" s="16">
        <f t="shared" si="3"/>
        <v>0</v>
      </c>
      <c r="M83" s="13" t="s">
        <v>69</v>
      </c>
    </row>
    <row r="84" spans="1:13" x14ac:dyDescent="0.25">
      <c r="A84" s="1">
        <v>43</v>
      </c>
      <c r="B84" s="48">
        <v>45866</v>
      </c>
      <c r="C84" s="66">
        <v>43441342</v>
      </c>
      <c r="D84" s="156">
        <v>69.3</v>
      </c>
      <c r="E84" s="5">
        <v>8.3390000000000004</v>
      </c>
      <c r="F84" s="5">
        <v>8.3390000000000004</v>
      </c>
      <c r="G84" s="5">
        <f>F84-E84</f>
        <v>0</v>
      </c>
      <c r="H84" s="16">
        <f t="shared" si="0"/>
        <v>0</v>
      </c>
      <c r="I84" s="16"/>
      <c r="J84" s="16"/>
      <c r="K84" s="16">
        <f t="shared" si="3"/>
        <v>0</v>
      </c>
      <c r="M84" s="13" t="s">
        <v>69</v>
      </c>
    </row>
    <row r="85" spans="1:13" x14ac:dyDescent="0.25">
      <c r="A85" s="1">
        <v>44</v>
      </c>
      <c r="B85" s="47">
        <v>45747</v>
      </c>
      <c r="C85" s="66">
        <v>43441345</v>
      </c>
      <c r="D85" s="156">
        <v>53.3</v>
      </c>
      <c r="E85" s="5">
        <v>18.646000000000001</v>
      </c>
      <c r="F85" s="5">
        <v>18.661000000000001</v>
      </c>
      <c r="G85" s="5">
        <f>F85-E85</f>
        <v>1.5000000000000568E-2</v>
      </c>
      <c r="H85" s="16">
        <f t="shared" si="0"/>
        <v>1.289700000000049E-2</v>
      </c>
      <c r="I85" s="16"/>
      <c r="J85" s="16"/>
      <c r="K85" s="16">
        <f t="shared" si="3"/>
        <v>1.289700000000049E-2</v>
      </c>
      <c r="M85" s="13" t="s">
        <v>69</v>
      </c>
    </row>
    <row r="86" spans="1:13" x14ac:dyDescent="0.25">
      <c r="A86" s="1">
        <v>45</v>
      </c>
      <c r="B86" s="33"/>
      <c r="C86" s="66">
        <v>43441348</v>
      </c>
      <c r="D86" s="156">
        <v>52.9</v>
      </c>
      <c r="E86" s="5">
        <v>59.764000000000003</v>
      </c>
      <c r="F86" s="5">
        <v>59.936</v>
      </c>
      <c r="G86" s="5"/>
      <c r="H86" s="16">
        <f t="shared" si="0"/>
        <v>0</v>
      </c>
      <c r="I86" s="16">
        <f>(((D86*0.015)*12)/7)/30*7</f>
        <v>0.31740000000000002</v>
      </c>
      <c r="J86" s="16">
        <f t="shared" si="2"/>
        <v>-0.23776594478498797</v>
      </c>
      <c r="K86" s="16">
        <f t="shared" si="3"/>
        <v>7.9634055215012045E-2</v>
      </c>
      <c r="M86" s="13" t="s">
        <v>71</v>
      </c>
    </row>
    <row r="87" spans="1:13" x14ac:dyDescent="0.25">
      <c r="A87" s="1">
        <v>46</v>
      </c>
      <c r="B87" s="52">
        <v>45866</v>
      </c>
      <c r="C87" s="66">
        <v>43441349</v>
      </c>
      <c r="D87" s="156">
        <v>100.9</v>
      </c>
      <c r="E87" s="5">
        <v>25.093</v>
      </c>
      <c r="F87" s="5">
        <v>25.093</v>
      </c>
      <c r="G87" s="5">
        <f>F87-E87</f>
        <v>0</v>
      </c>
      <c r="H87" s="16">
        <f t="shared" si="0"/>
        <v>0</v>
      </c>
      <c r="I87" s="16"/>
      <c r="J87" s="16"/>
      <c r="K87" s="16">
        <f t="shared" si="3"/>
        <v>0</v>
      </c>
      <c r="M87" s="13" t="s">
        <v>69</v>
      </c>
    </row>
    <row r="88" spans="1:13" x14ac:dyDescent="0.25">
      <c r="A88" s="1">
        <v>47</v>
      </c>
      <c r="B88" s="47">
        <v>45459</v>
      </c>
      <c r="C88" s="66" t="s">
        <v>108</v>
      </c>
      <c r="D88" s="156">
        <v>85.4</v>
      </c>
      <c r="E88" s="39">
        <v>3.3184999999999998</v>
      </c>
      <c r="F88" s="39">
        <v>3.3184999999999998</v>
      </c>
      <c r="G88" s="5"/>
      <c r="H88" s="16">
        <f>F88-E88</f>
        <v>0</v>
      </c>
      <c r="I88" s="16"/>
      <c r="J88" s="16"/>
      <c r="K88" s="16">
        <f t="shared" si="3"/>
        <v>0</v>
      </c>
      <c r="M88" s="13" t="s">
        <v>69</v>
      </c>
    </row>
    <row r="89" spans="1:13" x14ac:dyDescent="0.25">
      <c r="A89" s="1">
        <v>48</v>
      </c>
      <c r="B89" s="48">
        <v>45769</v>
      </c>
      <c r="C89" s="66">
        <v>43441356</v>
      </c>
      <c r="D89" s="156">
        <v>53.2</v>
      </c>
      <c r="E89" s="5">
        <v>46.093000000000004</v>
      </c>
      <c r="F89" s="5">
        <v>46.225999999999999</v>
      </c>
      <c r="G89" s="5">
        <f>F89-E89</f>
        <v>0.13299999999999557</v>
      </c>
      <c r="H89" s="16">
        <f>G89*0.8598</f>
        <v>0.11435339999999619</v>
      </c>
      <c r="I89" s="16"/>
      <c r="J89" s="16"/>
      <c r="K89" s="16">
        <f t="shared" si="3"/>
        <v>0.11435339999999619</v>
      </c>
      <c r="M89" s="13" t="s">
        <v>69</v>
      </c>
    </row>
    <row r="90" spans="1:13" x14ac:dyDescent="0.25">
      <c r="A90" s="1">
        <v>49</v>
      </c>
      <c r="B90" s="47">
        <v>45607</v>
      </c>
      <c r="C90" s="66">
        <v>43441343</v>
      </c>
      <c r="D90" s="156">
        <v>53.3</v>
      </c>
      <c r="E90" s="5">
        <v>18.045000000000002</v>
      </c>
      <c r="F90" s="5">
        <v>18.100999999999999</v>
      </c>
      <c r="G90" s="5">
        <f>F90-E90</f>
        <v>5.5999999999997385E-2</v>
      </c>
      <c r="H90" s="16">
        <f t="shared" si="0"/>
        <v>4.814879999999775E-2</v>
      </c>
      <c r="I90" s="16"/>
      <c r="J90" s="16"/>
      <c r="K90" s="16">
        <f t="shared" si="3"/>
        <v>4.814879999999775E-2</v>
      </c>
      <c r="L90" s="24"/>
      <c r="M90" s="13" t="s">
        <v>69</v>
      </c>
    </row>
    <row r="91" spans="1:13" x14ac:dyDescent="0.25">
      <c r="A91" s="1">
        <v>50</v>
      </c>
      <c r="B91" s="52">
        <v>45846</v>
      </c>
      <c r="C91" s="66">
        <v>43441352</v>
      </c>
      <c r="D91" s="156">
        <v>99.5</v>
      </c>
      <c r="E91" s="5">
        <v>83.548000000000002</v>
      </c>
      <c r="F91" s="5">
        <v>83.683000000000007</v>
      </c>
      <c r="G91" s="5">
        <f>F91-E91</f>
        <v>0.13500000000000512</v>
      </c>
      <c r="H91" s="16">
        <f>G91*0.8598</f>
        <v>0.11607300000000439</v>
      </c>
      <c r="I91" s="16"/>
      <c r="J91" s="16"/>
      <c r="K91" s="16">
        <f t="shared" si="3"/>
        <v>0.11607300000000439</v>
      </c>
      <c r="L91" s="24"/>
      <c r="M91" s="13" t="s">
        <v>69</v>
      </c>
    </row>
    <row r="92" spans="1:13" x14ac:dyDescent="0.25">
      <c r="A92" s="1">
        <v>51</v>
      </c>
      <c r="B92" s="38"/>
      <c r="C92" s="66">
        <v>43441357</v>
      </c>
      <c r="D92" s="156">
        <v>84.8</v>
      </c>
      <c r="E92" s="5">
        <v>90.488</v>
      </c>
      <c r="F92" s="5">
        <v>90.488</v>
      </c>
      <c r="G92" s="5"/>
      <c r="H92" s="16">
        <f t="shared" si="0"/>
        <v>0</v>
      </c>
      <c r="I92" s="16">
        <f t="shared" ref="I92:I93" si="5">(((D92*0.015)*12)/7)/30*7</f>
        <v>0.50880000000000003</v>
      </c>
      <c r="J92" s="16">
        <f t="shared" si="2"/>
        <v>-0.38114465250977281</v>
      </c>
      <c r="K92" s="16">
        <f t="shared" si="3"/>
        <v>0.12765534749022722</v>
      </c>
      <c r="L92" s="24"/>
      <c r="M92" s="13" t="s">
        <v>71</v>
      </c>
    </row>
    <row r="93" spans="1:13" x14ac:dyDescent="0.25">
      <c r="A93" s="1">
        <v>52</v>
      </c>
      <c r="B93" s="38"/>
      <c r="C93" s="66">
        <v>43441355</v>
      </c>
      <c r="D93" s="156">
        <v>52.9</v>
      </c>
      <c r="E93" s="5">
        <v>48.421999999999997</v>
      </c>
      <c r="F93" s="5">
        <v>48.533000000000001</v>
      </c>
      <c r="G93" s="5"/>
      <c r="H93" s="16">
        <f>G93*0.8598</f>
        <v>0</v>
      </c>
      <c r="I93" s="16">
        <f t="shared" si="5"/>
        <v>0.31740000000000002</v>
      </c>
      <c r="J93" s="16">
        <f t="shared" si="2"/>
        <v>-0.23776594478498797</v>
      </c>
      <c r="K93" s="16">
        <f t="shared" si="3"/>
        <v>7.9634055215012045E-2</v>
      </c>
      <c r="L93" s="24"/>
      <c r="M93" s="13" t="s">
        <v>71</v>
      </c>
    </row>
    <row r="94" spans="1:13" x14ac:dyDescent="0.25">
      <c r="A94" s="1">
        <v>53</v>
      </c>
      <c r="B94" s="48">
        <v>45635</v>
      </c>
      <c r="C94" s="66">
        <v>43441358</v>
      </c>
      <c r="D94" s="156">
        <v>52.8</v>
      </c>
      <c r="E94" s="5">
        <v>18.556999999999999</v>
      </c>
      <c r="F94" s="5">
        <v>18.556999999999999</v>
      </c>
      <c r="G94" s="5">
        <f>F94-E94</f>
        <v>0</v>
      </c>
      <c r="H94" s="16">
        <f t="shared" si="0"/>
        <v>0</v>
      </c>
      <c r="I94" s="16"/>
      <c r="J94" s="16"/>
      <c r="K94" s="16">
        <f t="shared" si="3"/>
        <v>0</v>
      </c>
      <c r="L94" s="24"/>
      <c r="M94" s="13" t="s">
        <v>69</v>
      </c>
    </row>
    <row r="95" spans="1:13" x14ac:dyDescent="0.25">
      <c r="A95" s="1">
        <v>54</v>
      </c>
      <c r="B95" s="47">
        <v>45725</v>
      </c>
      <c r="C95" s="10" t="s">
        <v>102</v>
      </c>
      <c r="D95" s="89">
        <v>101</v>
      </c>
      <c r="E95" s="39">
        <v>4.4757999999999996</v>
      </c>
      <c r="F95" s="39">
        <v>4.5069999999999997</v>
      </c>
      <c r="G95" s="5"/>
      <c r="H95" s="16">
        <f>F95-E95</f>
        <v>3.1200000000000117E-2</v>
      </c>
      <c r="I95" s="16"/>
      <c r="J95" s="16"/>
      <c r="K95" s="16">
        <f t="shared" si="3"/>
        <v>3.1200000000000117E-2</v>
      </c>
      <c r="L95" s="24"/>
      <c r="M95" s="13" t="s">
        <v>69</v>
      </c>
    </row>
    <row r="96" spans="1:13" x14ac:dyDescent="0.25">
      <c r="A96" s="1">
        <v>55</v>
      </c>
      <c r="B96" s="33"/>
      <c r="C96" s="66">
        <v>43441053</v>
      </c>
      <c r="D96" s="156">
        <v>85.2</v>
      </c>
      <c r="E96" s="5">
        <v>45.667999999999999</v>
      </c>
      <c r="F96" s="5">
        <v>45.667999999999999</v>
      </c>
      <c r="G96" s="5"/>
      <c r="H96" s="16">
        <f t="shared" si="0"/>
        <v>0</v>
      </c>
      <c r="I96" s="16">
        <f>(((D96*0.015)*12)/7)/30*7</f>
        <v>0.51119999999999999</v>
      </c>
      <c r="J96" s="16">
        <f t="shared" si="2"/>
        <v>-0.38294250464425289</v>
      </c>
      <c r="K96" s="16">
        <f>H96+I96+J96</f>
        <v>0.1282574953557471</v>
      </c>
      <c r="L96" s="24"/>
      <c r="M96" s="13" t="s">
        <v>71</v>
      </c>
    </row>
    <row r="97" spans="1:13" x14ac:dyDescent="0.25">
      <c r="A97" s="1">
        <v>56</v>
      </c>
      <c r="B97" s="47">
        <v>46042</v>
      </c>
      <c r="C97" s="66">
        <v>43441050</v>
      </c>
      <c r="D97" s="156">
        <v>52.5</v>
      </c>
      <c r="E97" s="5">
        <v>30.966000000000001</v>
      </c>
      <c r="F97" s="5">
        <v>30.966000000000001</v>
      </c>
      <c r="G97" s="5">
        <f>F97-E97</f>
        <v>0</v>
      </c>
      <c r="H97" s="16">
        <f t="shared" si="0"/>
        <v>0</v>
      </c>
      <c r="I97" s="16"/>
      <c r="J97" s="16"/>
      <c r="K97" s="16">
        <f t="shared" si="3"/>
        <v>0</v>
      </c>
      <c r="L97" s="24"/>
      <c r="M97" s="13" t="s">
        <v>69</v>
      </c>
    </row>
    <row r="98" spans="1:13" x14ac:dyDescent="0.25">
      <c r="A98" s="1">
        <v>57</v>
      </c>
      <c r="B98" s="33"/>
      <c r="C98" s="66">
        <v>43441051</v>
      </c>
      <c r="D98" s="156">
        <v>52.4</v>
      </c>
      <c r="E98" s="5">
        <v>38.887</v>
      </c>
      <c r="F98" s="5">
        <v>38.972999999999999</v>
      </c>
      <c r="G98" s="5"/>
      <c r="H98" s="16">
        <f t="shared" si="0"/>
        <v>0</v>
      </c>
      <c r="I98" s="16">
        <f>(((D98*0.015)*12)/7)/30*7</f>
        <v>0.31439999999999996</v>
      </c>
      <c r="J98" s="16">
        <f t="shared" si="2"/>
        <v>-0.23551862961688791</v>
      </c>
      <c r="K98" s="16">
        <f t="shared" si="3"/>
        <v>7.8881370383112048E-2</v>
      </c>
      <c r="L98" s="24"/>
      <c r="M98" s="13" t="s">
        <v>71</v>
      </c>
    </row>
    <row r="99" spans="1:13" x14ac:dyDescent="0.25">
      <c r="A99" s="1">
        <v>58</v>
      </c>
      <c r="B99" s="47">
        <v>46262</v>
      </c>
      <c r="C99" s="66" t="s">
        <v>142</v>
      </c>
      <c r="D99" s="156">
        <v>101.3</v>
      </c>
      <c r="E99" s="5">
        <v>0</v>
      </c>
      <c r="F99" s="5">
        <v>0</v>
      </c>
      <c r="G99" s="5"/>
      <c r="H99" s="16">
        <f>F99-E99</f>
        <v>0</v>
      </c>
      <c r="I99" s="16"/>
      <c r="J99" s="16"/>
      <c r="K99" s="16">
        <f t="shared" si="3"/>
        <v>0</v>
      </c>
      <c r="L99" s="24"/>
      <c r="M99" s="13" t="s">
        <v>69</v>
      </c>
    </row>
    <row r="100" spans="1:13" x14ac:dyDescent="0.25">
      <c r="A100" s="1">
        <v>59</v>
      </c>
      <c r="B100" s="47">
        <v>45754</v>
      </c>
      <c r="C100" s="66">
        <v>43441057</v>
      </c>
      <c r="D100" s="156">
        <v>85.3</v>
      </c>
      <c r="E100" s="5">
        <v>25.145</v>
      </c>
      <c r="F100" s="5">
        <v>25.145</v>
      </c>
      <c r="G100" s="5">
        <f t="shared" ref="G100:G105" si="6">F100-E100</f>
        <v>0</v>
      </c>
      <c r="H100" s="16">
        <f t="shared" si="0"/>
        <v>0</v>
      </c>
      <c r="I100" s="16"/>
      <c r="J100" s="16"/>
      <c r="K100" s="16">
        <f>H100+I100+J100</f>
        <v>0</v>
      </c>
      <c r="L100" s="24"/>
      <c r="M100" s="13" t="s">
        <v>69</v>
      </c>
    </row>
    <row r="101" spans="1:13" x14ac:dyDescent="0.25">
      <c r="A101" s="1">
        <v>60</v>
      </c>
      <c r="B101" s="47">
        <v>45703</v>
      </c>
      <c r="C101" s="66">
        <v>43441058</v>
      </c>
      <c r="D101" s="156">
        <v>52.5</v>
      </c>
      <c r="E101" s="5">
        <v>11.071999999999999</v>
      </c>
      <c r="F101" s="5">
        <v>11.071999999999999</v>
      </c>
      <c r="G101" s="5">
        <f t="shared" si="6"/>
        <v>0</v>
      </c>
      <c r="H101" s="16">
        <f>G101*0.8598</f>
        <v>0</v>
      </c>
      <c r="I101" s="16"/>
      <c r="J101" s="16"/>
      <c r="K101" s="16">
        <f t="shared" si="3"/>
        <v>0</v>
      </c>
      <c r="M101" s="13" t="s">
        <v>69</v>
      </c>
    </row>
    <row r="102" spans="1:13" x14ac:dyDescent="0.25">
      <c r="A102" s="1">
        <v>61</v>
      </c>
      <c r="B102" s="48">
        <v>45517</v>
      </c>
      <c r="C102" s="66">
        <v>43441054</v>
      </c>
      <c r="D102" s="156">
        <v>52.3</v>
      </c>
      <c r="E102" s="5">
        <v>20.097999999999999</v>
      </c>
      <c r="F102" s="5">
        <v>20.18</v>
      </c>
      <c r="G102" s="5">
        <f t="shared" si="6"/>
        <v>8.2000000000000739E-2</v>
      </c>
      <c r="H102" s="16">
        <f t="shared" si="0"/>
        <v>7.0503600000000638E-2</v>
      </c>
      <c r="I102" s="16"/>
      <c r="J102" s="16"/>
      <c r="K102" s="16">
        <f t="shared" si="3"/>
        <v>7.0503600000000638E-2</v>
      </c>
      <c r="M102" s="13" t="s">
        <v>69</v>
      </c>
    </row>
    <row r="103" spans="1:13" x14ac:dyDescent="0.25">
      <c r="A103" s="1">
        <v>62</v>
      </c>
      <c r="B103" s="47">
        <v>45907</v>
      </c>
      <c r="C103" s="66">
        <v>43441056</v>
      </c>
      <c r="D103" s="156">
        <v>100.5</v>
      </c>
      <c r="E103" s="5">
        <v>38.603999999999999</v>
      </c>
      <c r="F103" s="5">
        <v>38.603999999999999</v>
      </c>
      <c r="G103" s="5">
        <f t="shared" si="6"/>
        <v>0</v>
      </c>
      <c r="H103" s="16">
        <f t="shared" si="0"/>
        <v>0</v>
      </c>
      <c r="I103" s="16"/>
      <c r="J103" s="16"/>
      <c r="K103" s="16">
        <f t="shared" si="3"/>
        <v>0</v>
      </c>
      <c r="M103" s="13" t="s">
        <v>69</v>
      </c>
    </row>
    <row r="104" spans="1:13" x14ac:dyDescent="0.25">
      <c r="A104" s="1">
        <v>63</v>
      </c>
      <c r="B104" s="47">
        <v>45920</v>
      </c>
      <c r="C104" s="66">
        <v>43441064</v>
      </c>
      <c r="D104" s="156">
        <v>85.2</v>
      </c>
      <c r="E104" s="5">
        <v>29.654</v>
      </c>
      <c r="F104" s="5">
        <v>29.654</v>
      </c>
      <c r="G104" s="5">
        <f t="shared" si="6"/>
        <v>0</v>
      </c>
      <c r="H104" s="16">
        <f t="shared" si="0"/>
        <v>0</v>
      </c>
      <c r="I104" s="16"/>
      <c r="J104" s="16"/>
      <c r="K104" s="16">
        <f t="shared" si="3"/>
        <v>0</v>
      </c>
      <c r="M104" s="13" t="s">
        <v>69</v>
      </c>
    </row>
    <row r="105" spans="1:13" x14ac:dyDescent="0.25">
      <c r="A105" s="1">
        <v>64</v>
      </c>
      <c r="B105" s="47">
        <v>46278</v>
      </c>
      <c r="C105" s="66">
        <v>43441061</v>
      </c>
      <c r="D105" s="156">
        <v>52.7</v>
      </c>
      <c r="E105" s="5">
        <v>25.341000000000001</v>
      </c>
      <c r="F105" s="5">
        <v>25.341000000000001</v>
      </c>
      <c r="G105" s="5">
        <f t="shared" si="6"/>
        <v>0</v>
      </c>
      <c r="H105" s="16">
        <f t="shared" si="0"/>
        <v>0</v>
      </c>
      <c r="I105" s="16"/>
      <c r="J105" s="16"/>
      <c r="K105" s="16">
        <f t="shared" si="3"/>
        <v>0</v>
      </c>
      <c r="M105" s="13" t="s">
        <v>69</v>
      </c>
    </row>
    <row r="106" spans="1:13" x14ac:dyDescent="0.25">
      <c r="A106" s="1">
        <v>65</v>
      </c>
      <c r="B106" s="33"/>
      <c r="C106" s="66">
        <v>43441055</v>
      </c>
      <c r="D106" s="156">
        <v>53.1</v>
      </c>
      <c r="E106" s="5">
        <v>17.591999999999999</v>
      </c>
      <c r="F106" s="5">
        <v>17.591999999999999</v>
      </c>
      <c r="G106" s="5"/>
      <c r="H106" s="16">
        <f t="shared" si="0"/>
        <v>0</v>
      </c>
      <c r="I106" s="16">
        <f>(((D106*0.015)*12)/7)/30*7</f>
        <v>0.31859999999999999</v>
      </c>
      <c r="J106" s="16">
        <f t="shared" si="2"/>
        <v>-0.23866487085222804</v>
      </c>
      <c r="K106" s="16">
        <f t="shared" si="3"/>
        <v>7.9935129147771955E-2</v>
      </c>
      <c r="M106" s="13" t="s">
        <v>71</v>
      </c>
    </row>
    <row r="107" spans="1:13" x14ac:dyDescent="0.25">
      <c r="A107" s="1">
        <v>66</v>
      </c>
      <c r="B107" s="47">
        <v>45580</v>
      </c>
      <c r="C107" s="66">
        <v>43441063</v>
      </c>
      <c r="D107" s="156">
        <v>101.1</v>
      </c>
      <c r="E107" s="5">
        <v>7.6879999999999997</v>
      </c>
      <c r="F107" s="5">
        <v>7.6879999999999997</v>
      </c>
      <c r="G107" s="5">
        <f>F107-E107</f>
        <v>0</v>
      </c>
      <c r="H107" s="16">
        <f t="shared" ref="H107:H122" si="7">G107*0.8598</f>
        <v>0</v>
      </c>
      <c r="I107" s="16"/>
      <c r="J107" s="16"/>
      <c r="K107" s="16">
        <f t="shared" si="3"/>
        <v>0</v>
      </c>
      <c r="M107" s="13" t="s">
        <v>69</v>
      </c>
    </row>
    <row r="108" spans="1:13" x14ac:dyDescent="0.25">
      <c r="A108" s="1">
        <v>67</v>
      </c>
      <c r="B108" s="47">
        <v>45870</v>
      </c>
      <c r="C108" s="66">
        <v>43441067</v>
      </c>
      <c r="D108" s="156">
        <v>84.7</v>
      </c>
      <c r="E108" s="5">
        <f>16.49+1.2705+1.2705</f>
        <v>19.030999999999995</v>
      </c>
      <c r="F108" s="5">
        <f>16.49+1.2705+1.2705</f>
        <v>19.030999999999995</v>
      </c>
      <c r="G108" s="5">
        <f>F108-E108</f>
        <v>0</v>
      </c>
      <c r="H108" s="16">
        <f t="shared" si="7"/>
        <v>0</v>
      </c>
      <c r="I108" s="16"/>
      <c r="J108" s="16"/>
      <c r="K108" s="16">
        <f t="shared" si="3"/>
        <v>0</v>
      </c>
      <c r="M108" s="13" t="s">
        <v>69</v>
      </c>
    </row>
    <row r="109" spans="1:13" x14ac:dyDescent="0.25">
      <c r="A109" s="1">
        <v>68</v>
      </c>
      <c r="B109" s="47">
        <v>45790</v>
      </c>
      <c r="C109" s="66">
        <v>43441065</v>
      </c>
      <c r="D109" s="156">
        <v>52.7</v>
      </c>
      <c r="E109" s="5">
        <v>27.768000000000001</v>
      </c>
      <c r="F109" s="5">
        <v>27.782</v>
      </c>
      <c r="G109" s="5">
        <f>F109-E109</f>
        <v>1.3999999999999346E-2</v>
      </c>
      <c r="H109" s="16">
        <f>G109*0.8598</f>
        <v>1.2037199999999438E-2</v>
      </c>
      <c r="I109" s="16"/>
      <c r="J109" s="16"/>
      <c r="K109" s="16">
        <f t="shared" si="3"/>
        <v>1.2037199999999438E-2</v>
      </c>
      <c r="M109" s="13" t="s">
        <v>69</v>
      </c>
    </row>
    <row r="110" spans="1:13" x14ac:dyDescent="0.25">
      <c r="A110" s="1">
        <v>69</v>
      </c>
      <c r="B110" s="47">
        <v>45768</v>
      </c>
      <c r="C110" s="66">
        <v>43441060</v>
      </c>
      <c r="D110" s="156">
        <v>53.3</v>
      </c>
      <c r="E110" s="5">
        <v>24.754999999999999</v>
      </c>
      <c r="F110" s="5">
        <v>24.754999999999999</v>
      </c>
      <c r="G110" s="5">
        <f>F110-E110</f>
        <v>0</v>
      </c>
      <c r="H110" s="16">
        <f t="shared" si="7"/>
        <v>0</v>
      </c>
      <c r="I110" s="16"/>
      <c r="J110" s="16"/>
      <c r="K110" s="16">
        <f t="shared" si="3"/>
        <v>0</v>
      </c>
      <c r="M110" s="13" t="s">
        <v>69</v>
      </c>
    </row>
    <row r="111" spans="1:13" x14ac:dyDescent="0.25">
      <c r="A111" s="1">
        <v>70</v>
      </c>
      <c r="B111" s="47">
        <v>46117</v>
      </c>
      <c r="C111" s="66">
        <v>43441066</v>
      </c>
      <c r="D111" s="156">
        <v>101.3</v>
      </c>
      <c r="E111" s="5">
        <v>60.502000000000002</v>
      </c>
      <c r="F111" s="5">
        <v>60.588999999999999</v>
      </c>
      <c r="G111" s="5">
        <f>F111-E111</f>
        <v>8.6999999999996191E-2</v>
      </c>
      <c r="H111" s="16">
        <f t="shared" si="7"/>
        <v>7.4802599999996722E-2</v>
      </c>
      <c r="I111" s="16"/>
      <c r="J111" s="16"/>
      <c r="K111" s="16">
        <f t="shared" si="3"/>
        <v>7.4802599999996722E-2</v>
      </c>
      <c r="M111" s="13" t="s">
        <v>69</v>
      </c>
    </row>
    <row r="112" spans="1:13" x14ac:dyDescent="0.25">
      <c r="A112" s="1">
        <v>71</v>
      </c>
      <c r="B112" s="33"/>
      <c r="C112" s="66">
        <v>43441350</v>
      </c>
      <c r="D112" s="156">
        <v>85.7</v>
      </c>
      <c r="E112" s="5">
        <v>72.227999999999994</v>
      </c>
      <c r="F112" s="5">
        <v>72.227999999999994</v>
      </c>
      <c r="G112" s="5"/>
      <c r="H112" s="16">
        <f t="shared" si="7"/>
        <v>0</v>
      </c>
      <c r="I112" s="16">
        <f t="shared" ref="I112:I113" si="8">(((D112*0.015)*12)/7)/30*7</f>
        <v>0.5142000000000001</v>
      </c>
      <c r="J112" s="16">
        <f t="shared" ref="J112:J113" si="9">D112/($E$11-$E$13)*$J$10</f>
        <v>-0.38518981981235301</v>
      </c>
      <c r="K112" s="16">
        <f t="shared" si="3"/>
        <v>0.12901018018764709</v>
      </c>
      <c r="M112" s="13" t="s">
        <v>71</v>
      </c>
    </row>
    <row r="113" spans="1:16" x14ac:dyDescent="0.25">
      <c r="A113" s="1">
        <v>72</v>
      </c>
      <c r="B113" s="33"/>
      <c r="C113" s="66">
        <v>43441353</v>
      </c>
      <c r="D113" s="156">
        <v>52.8</v>
      </c>
      <c r="E113" s="5">
        <v>31.169</v>
      </c>
      <c r="F113" s="5">
        <v>31.23</v>
      </c>
      <c r="G113" s="5"/>
      <c r="H113" s="16">
        <f t="shared" si="7"/>
        <v>0</v>
      </c>
      <c r="I113" s="16">
        <f t="shared" si="8"/>
        <v>0.31679999999999997</v>
      </c>
      <c r="J113" s="16">
        <f t="shared" si="9"/>
        <v>-0.23731648175136796</v>
      </c>
      <c r="K113" s="16">
        <f t="shared" si="3"/>
        <v>7.9483518248632007E-2</v>
      </c>
      <c r="M113" s="13" t="s">
        <v>71</v>
      </c>
    </row>
    <row r="114" spans="1:16" x14ac:dyDescent="0.25">
      <c r="A114" s="1">
        <v>73</v>
      </c>
      <c r="B114" s="47">
        <v>45982</v>
      </c>
      <c r="C114" s="66" t="s">
        <v>143</v>
      </c>
      <c r="D114" s="156">
        <v>52.8</v>
      </c>
      <c r="E114" s="39">
        <v>0</v>
      </c>
      <c r="F114" s="39">
        <v>0</v>
      </c>
      <c r="G114" s="5"/>
      <c r="H114" s="16">
        <f>F114-E114</f>
        <v>0</v>
      </c>
      <c r="I114" s="16"/>
      <c r="J114" s="16"/>
      <c r="K114" s="16">
        <f t="shared" si="3"/>
        <v>0</v>
      </c>
      <c r="M114" s="13" t="s">
        <v>69</v>
      </c>
    </row>
    <row r="115" spans="1:16" ht="15.75" thickBot="1" x14ac:dyDescent="0.3">
      <c r="A115" s="15">
        <v>74</v>
      </c>
      <c r="B115" s="188">
        <v>46168</v>
      </c>
      <c r="C115" s="66" t="s">
        <v>144</v>
      </c>
      <c r="D115" s="90">
        <v>100.6</v>
      </c>
      <c r="E115" s="189">
        <v>0</v>
      </c>
      <c r="F115" s="189">
        <v>0</v>
      </c>
      <c r="G115" s="8"/>
      <c r="H115" s="16">
        <f t="shared" ref="H115" si="10">F115-E115</f>
        <v>0</v>
      </c>
      <c r="I115" s="16"/>
      <c r="J115" s="16"/>
      <c r="K115" s="16">
        <f>H115+I115+J115</f>
        <v>0</v>
      </c>
      <c r="M115" s="13" t="s">
        <v>69</v>
      </c>
      <c r="O115" s="12"/>
      <c r="P115" s="12"/>
    </row>
    <row r="116" spans="1:16" ht="15.75" thickBot="1" x14ac:dyDescent="0.3">
      <c r="A116" s="219" t="s">
        <v>73</v>
      </c>
      <c r="B116" s="220"/>
      <c r="C116" s="220"/>
      <c r="D116" s="92">
        <f>SUM(D42:D115)</f>
        <v>5338.7000000000025</v>
      </c>
      <c r="E116" s="221" t="s">
        <v>74</v>
      </c>
      <c r="F116" s="221"/>
      <c r="G116" s="221"/>
      <c r="H116" s="64">
        <f>SUM(H42:H115)</f>
        <v>1.9426322000000003</v>
      </c>
      <c r="I116" s="64">
        <f>SUM(I42:I115)</f>
        <v>7.6739999999999986</v>
      </c>
      <c r="J116" s="64">
        <f>SUM(J42:J115)</f>
        <v>-5.7486321999999914</v>
      </c>
      <c r="K116" s="93">
        <f>SUM(K42:K115)</f>
        <v>3.8680000000000083</v>
      </c>
      <c r="M116" s="13"/>
    </row>
    <row r="117" spans="1:16" x14ac:dyDescent="0.25">
      <c r="A117" s="9">
        <v>75</v>
      </c>
      <c r="B117" s="105">
        <v>46854</v>
      </c>
      <c r="C117" s="69" t="s">
        <v>145</v>
      </c>
      <c r="D117" s="155">
        <v>85</v>
      </c>
      <c r="E117" s="6">
        <v>0</v>
      </c>
      <c r="F117" s="6">
        <v>0.13900000000000001</v>
      </c>
      <c r="G117" s="6"/>
      <c r="H117" s="16">
        <f>F117-E117</f>
        <v>0.13900000000000001</v>
      </c>
      <c r="I117" s="16"/>
      <c r="J117" s="16"/>
      <c r="K117" s="19">
        <f>H117+I117+J117</f>
        <v>0.13900000000000001</v>
      </c>
      <c r="M117" s="13" t="s">
        <v>69</v>
      </c>
    </row>
    <row r="118" spans="1:16" x14ac:dyDescent="0.25">
      <c r="A118" s="1">
        <v>76</v>
      </c>
      <c r="B118" s="47">
        <v>45939</v>
      </c>
      <c r="C118" s="66">
        <v>43441335</v>
      </c>
      <c r="D118" s="156">
        <v>58.3</v>
      </c>
      <c r="E118" s="5">
        <v>45.707000000000001</v>
      </c>
      <c r="F118" s="5">
        <v>45.790999999999997</v>
      </c>
      <c r="G118" s="5">
        <f>F118-E118</f>
        <v>8.3999999999996078E-2</v>
      </c>
      <c r="H118" s="16">
        <f>G118*0.8598</f>
        <v>7.2223199999996629E-2</v>
      </c>
      <c r="I118" s="16"/>
      <c r="J118" s="16"/>
      <c r="K118" s="19">
        <f t="shared" ref="K118:K172" si="11">H118+I118+J118</f>
        <v>7.2223199999996629E-2</v>
      </c>
      <c r="M118" s="13" t="s">
        <v>69</v>
      </c>
    </row>
    <row r="119" spans="1:16" x14ac:dyDescent="0.25">
      <c r="A119" s="1">
        <v>77</v>
      </c>
      <c r="B119" s="47">
        <v>45950</v>
      </c>
      <c r="C119" s="66">
        <v>43441338</v>
      </c>
      <c r="D119" s="156">
        <v>58.5</v>
      </c>
      <c r="E119" s="5">
        <v>44.530999999999999</v>
      </c>
      <c r="F119" s="5">
        <v>44.530999999999999</v>
      </c>
      <c r="G119" s="5">
        <f>F119-E119</f>
        <v>0</v>
      </c>
      <c r="H119" s="16">
        <f>G119*0.8598</f>
        <v>0</v>
      </c>
      <c r="I119" s="16"/>
      <c r="J119" s="16"/>
      <c r="K119" s="19">
        <f t="shared" si="11"/>
        <v>0</v>
      </c>
      <c r="M119" s="13" t="s">
        <v>69</v>
      </c>
    </row>
    <row r="120" spans="1:16" x14ac:dyDescent="0.25">
      <c r="A120" s="1">
        <v>78</v>
      </c>
      <c r="B120" s="47">
        <v>45459</v>
      </c>
      <c r="C120" s="66" t="s">
        <v>109</v>
      </c>
      <c r="D120" s="156">
        <v>76.599999999999994</v>
      </c>
      <c r="E120" s="39">
        <v>6.7420999999999998</v>
      </c>
      <c r="F120" s="39">
        <v>6.8250000000000002</v>
      </c>
      <c r="G120" s="5"/>
      <c r="H120" s="16">
        <f>F120-E120</f>
        <v>8.2900000000000418E-2</v>
      </c>
      <c r="I120" s="16"/>
      <c r="J120" s="16"/>
      <c r="K120" s="19">
        <f t="shared" si="11"/>
        <v>8.2900000000000418E-2</v>
      </c>
      <c r="M120" s="13" t="s">
        <v>69</v>
      </c>
    </row>
    <row r="121" spans="1:16" x14ac:dyDescent="0.25">
      <c r="A121" s="1">
        <v>79</v>
      </c>
      <c r="B121" s="47">
        <v>45747</v>
      </c>
      <c r="C121" s="66">
        <v>43441336</v>
      </c>
      <c r="D121" s="156">
        <v>85.7</v>
      </c>
      <c r="E121" s="5">
        <v>23.178000000000001</v>
      </c>
      <c r="F121" s="5">
        <v>23.196999999999999</v>
      </c>
      <c r="G121" s="5">
        <f>F121-E121</f>
        <v>1.8999999999998352E-2</v>
      </c>
      <c r="H121" s="16">
        <f>G121*0.8598</f>
        <v>1.6336199999998583E-2</v>
      </c>
      <c r="I121" s="16"/>
      <c r="J121" s="16"/>
      <c r="K121" s="19">
        <f t="shared" si="11"/>
        <v>1.6336199999998583E-2</v>
      </c>
      <c r="M121" s="13" t="s">
        <v>69</v>
      </c>
      <c r="O121" s="24"/>
    </row>
    <row r="122" spans="1:16" x14ac:dyDescent="0.25">
      <c r="A122" s="1">
        <v>80</v>
      </c>
      <c r="B122" s="33"/>
      <c r="C122" s="66">
        <v>43441339</v>
      </c>
      <c r="D122" s="156">
        <v>58.3</v>
      </c>
      <c r="E122" s="5">
        <v>41.762</v>
      </c>
      <c r="F122" s="5">
        <v>41.792999999999999</v>
      </c>
      <c r="G122" s="5"/>
      <c r="H122" s="16">
        <f t="shared" si="7"/>
        <v>0</v>
      </c>
      <c r="I122" s="16">
        <f>(((D122*0.015)*12)/7)/30*7</f>
        <v>0.3498</v>
      </c>
      <c r="J122" s="16">
        <f>D122/($E$18-$E$20)*$J$17</f>
        <v>-0.10041901744548337</v>
      </c>
      <c r="K122" s="19">
        <f t="shared" si="11"/>
        <v>0.24938098255451663</v>
      </c>
      <c r="M122" s="13" t="s">
        <v>71</v>
      </c>
      <c r="O122" s="30"/>
    </row>
    <row r="123" spans="1:16" x14ac:dyDescent="0.25">
      <c r="A123" s="1">
        <v>81</v>
      </c>
      <c r="B123" s="47">
        <v>46832</v>
      </c>
      <c r="C123" s="66" t="s">
        <v>133</v>
      </c>
      <c r="D123" s="156">
        <v>58.4</v>
      </c>
      <c r="E123" s="39">
        <v>1E-3</v>
      </c>
      <c r="F123" s="39">
        <v>1E-3</v>
      </c>
      <c r="G123" s="5"/>
      <c r="H123" s="16">
        <f>F123-E123</f>
        <v>0</v>
      </c>
      <c r="I123" s="16"/>
      <c r="J123" s="16"/>
      <c r="K123" s="19">
        <f t="shared" si="11"/>
        <v>0</v>
      </c>
      <c r="M123" s="13" t="s">
        <v>69</v>
      </c>
      <c r="O123" s="24"/>
    </row>
    <row r="124" spans="1:16" x14ac:dyDescent="0.25">
      <c r="A124" s="1">
        <v>82</v>
      </c>
      <c r="B124" s="48">
        <v>45937</v>
      </c>
      <c r="C124" s="66">
        <v>43441334</v>
      </c>
      <c r="D124" s="156">
        <v>76.400000000000006</v>
      </c>
      <c r="E124" s="5">
        <v>31.844000000000001</v>
      </c>
      <c r="F124" s="5">
        <v>31.844000000000001</v>
      </c>
      <c r="G124" s="5">
        <f>F124-E124</f>
        <v>0</v>
      </c>
      <c r="H124" s="16">
        <f t="shared" ref="H124:H151" si="12">G124*0.8598</f>
        <v>0</v>
      </c>
      <c r="I124" s="16"/>
      <c r="J124" s="16"/>
      <c r="K124" s="19">
        <f t="shared" si="11"/>
        <v>0</v>
      </c>
      <c r="M124" s="13" t="s">
        <v>69</v>
      </c>
    </row>
    <row r="125" spans="1:16" x14ac:dyDescent="0.25">
      <c r="A125" s="1">
        <v>83</v>
      </c>
      <c r="B125" s="47">
        <v>45847</v>
      </c>
      <c r="C125" s="66">
        <v>43441340</v>
      </c>
      <c r="D125" s="156">
        <v>85.5</v>
      </c>
      <c r="E125" s="5">
        <v>59.777999999999999</v>
      </c>
      <c r="F125" s="5">
        <v>59.808</v>
      </c>
      <c r="G125" s="5">
        <f>F125-E125</f>
        <v>3.0000000000001137E-2</v>
      </c>
      <c r="H125" s="16">
        <f t="shared" si="12"/>
        <v>2.5794000000000979E-2</v>
      </c>
      <c r="I125" s="16"/>
      <c r="J125" s="16"/>
      <c r="K125" s="19">
        <f t="shared" si="11"/>
        <v>2.5794000000000979E-2</v>
      </c>
      <c r="M125" s="13" t="s">
        <v>69</v>
      </c>
    </row>
    <row r="126" spans="1:16" x14ac:dyDescent="0.25">
      <c r="A126" s="1">
        <v>84</v>
      </c>
      <c r="B126" s="33"/>
      <c r="C126" s="66">
        <v>43441326</v>
      </c>
      <c r="D126" s="156">
        <v>58.6</v>
      </c>
      <c r="E126" s="5">
        <v>6.2569999999999997</v>
      </c>
      <c r="F126" s="5">
        <v>6.2569999999999997</v>
      </c>
      <c r="G126" s="5"/>
      <c r="H126" s="16">
        <f t="shared" si="12"/>
        <v>0</v>
      </c>
      <c r="I126" s="16">
        <f t="shared" ref="I126:I127" si="13">(((D126*0.015)*12)/7)/30*7</f>
        <v>0.35160000000000002</v>
      </c>
      <c r="J126" s="16">
        <f t="shared" ref="J126:J127" si="14">D126/($E$18-$E$20)*$J$17</f>
        <v>-0.10093575338431092</v>
      </c>
      <c r="K126" s="19">
        <f t="shared" si="11"/>
        <v>0.25066424661568909</v>
      </c>
      <c r="M126" s="13" t="s">
        <v>71</v>
      </c>
    </row>
    <row r="127" spans="1:16" x14ac:dyDescent="0.25">
      <c r="A127" s="1">
        <v>85</v>
      </c>
      <c r="B127" s="33"/>
      <c r="C127" s="66">
        <v>43441323</v>
      </c>
      <c r="D127" s="156">
        <v>59.6</v>
      </c>
      <c r="E127" s="5">
        <v>30.068000000000001</v>
      </c>
      <c r="F127" s="5">
        <v>30.207000000000001</v>
      </c>
      <c r="G127" s="5"/>
      <c r="H127" s="16">
        <f t="shared" si="12"/>
        <v>0</v>
      </c>
      <c r="I127" s="16">
        <f t="shared" si="13"/>
        <v>0.35759999999999997</v>
      </c>
      <c r="J127" s="16">
        <f t="shared" si="14"/>
        <v>-0.10265820651373601</v>
      </c>
      <c r="K127" s="19">
        <f t="shared" si="11"/>
        <v>0.25494179348626395</v>
      </c>
      <c r="M127" s="13" t="s">
        <v>71</v>
      </c>
    </row>
    <row r="128" spans="1:16" x14ac:dyDescent="0.25">
      <c r="A128" s="1">
        <v>86</v>
      </c>
      <c r="B128" s="48">
        <v>45674</v>
      </c>
      <c r="C128" s="66">
        <v>43441329</v>
      </c>
      <c r="D128" s="156">
        <v>76.5</v>
      </c>
      <c r="E128" s="5">
        <v>8.0090000000000003</v>
      </c>
      <c r="F128" s="5">
        <v>8.0090000000000003</v>
      </c>
      <c r="G128" s="5">
        <f>F128-E128</f>
        <v>0</v>
      </c>
      <c r="H128" s="16">
        <f>G128*0.8598</f>
        <v>0</v>
      </c>
      <c r="I128" s="16"/>
      <c r="J128" s="16"/>
      <c r="K128" s="19">
        <f>H128+I128+J128</f>
        <v>0</v>
      </c>
      <c r="M128" s="13" t="s">
        <v>69</v>
      </c>
    </row>
    <row r="129" spans="1:13" x14ac:dyDescent="0.25">
      <c r="A129" s="1">
        <v>87</v>
      </c>
      <c r="B129" s="47">
        <v>46265</v>
      </c>
      <c r="C129" s="66">
        <v>43441330</v>
      </c>
      <c r="D129" s="156">
        <v>85.1</v>
      </c>
      <c r="E129" s="5">
        <v>55.485999999999997</v>
      </c>
      <c r="F129" s="5">
        <v>55.607999999999997</v>
      </c>
      <c r="G129" s="5">
        <f>F129-E129</f>
        <v>0.12199999999999989</v>
      </c>
      <c r="H129" s="16">
        <f>G129*0.8598</f>
        <v>0.10489559999999991</v>
      </c>
      <c r="I129" s="16"/>
      <c r="J129" s="16"/>
      <c r="K129" s="19">
        <f t="shared" si="11"/>
        <v>0.10489559999999991</v>
      </c>
      <c r="M129" s="13" t="s">
        <v>69</v>
      </c>
    </row>
    <row r="130" spans="1:13" x14ac:dyDescent="0.25">
      <c r="A130" s="1">
        <v>88</v>
      </c>
      <c r="B130" s="47">
        <v>45914</v>
      </c>
      <c r="C130" s="66">
        <v>43441327</v>
      </c>
      <c r="D130" s="156">
        <v>58.4</v>
      </c>
      <c r="E130" s="5">
        <v>29.901</v>
      </c>
      <c r="F130" s="5">
        <v>29.917000000000002</v>
      </c>
      <c r="G130" s="5">
        <f>F130-E130</f>
        <v>1.6000000000001791E-2</v>
      </c>
      <c r="H130" s="16">
        <f t="shared" si="12"/>
        <v>1.375680000000154E-2</v>
      </c>
      <c r="I130" s="16"/>
      <c r="J130" s="16"/>
      <c r="K130" s="19">
        <f t="shared" si="11"/>
        <v>1.375680000000154E-2</v>
      </c>
      <c r="M130" s="13" t="s">
        <v>69</v>
      </c>
    </row>
    <row r="131" spans="1:13" x14ac:dyDescent="0.25">
      <c r="A131" s="1">
        <v>89</v>
      </c>
      <c r="B131" s="47">
        <v>45889</v>
      </c>
      <c r="C131" s="66">
        <v>43441324</v>
      </c>
      <c r="D131" s="156">
        <v>58.7</v>
      </c>
      <c r="E131" s="5">
        <v>32.877000000000002</v>
      </c>
      <c r="F131" s="5">
        <v>33.003</v>
      </c>
      <c r="G131" s="5">
        <f>F131-E131</f>
        <v>0.12599999999999767</v>
      </c>
      <c r="H131" s="16">
        <f t="shared" si="12"/>
        <v>0.108334799999998</v>
      </c>
      <c r="I131" s="16"/>
      <c r="J131" s="16"/>
      <c r="K131" s="19">
        <f t="shared" si="11"/>
        <v>0.108334799999998</v>
      </c>
      <c r="M131" s="13" t="s">
        <v>69</v>
      </c>
    </row>
    <row r="132" spans="1:13" x14ac:dyDescent="0.25">
      <c r="A132" s="1">
        <v>90</v>
      </c>
      <c r="B132" s="33"/>
      <c r="C132" s="66">
        <v>43441325</v>
      </c>
      <c r="D132" s="156">
        <v>77.7</v>
      </c>
      <c r="E132" s="5">
        <v>39.71</v>
      </c>
      <c r="F132" s="5">
        <v>39.868000000000002</v>
      </c>
      <c r="G132" s="5"/>
      <c r="H132" s="16">
        <f t="shared" si="12"/>
        <v>0</v>
      </c>
      <c r="I132" s="16">
        <f>(((D132*0.015)*12)/7)/30*7</f>
        <v>0.46620000000000006</v>
      </c>
      <c r="J132" s="16">
        <f>D132/($E$18-$E$20)*$J$17</f>
        <v>-0.13383460815633033</v>
      </c>
      <c r="K132" s="19">
        <f t="shared" si="11"/>
        <v>0.33236539184366976</v>
      </c>
      <c r="M132" s="13" t="s">
        <v>71</v>
      </c>
    </row>
    <row r="133" spans="1:13" x14ac:dyDescent="0.25">
      <c r="A133" s="1">
        <v>91</v>
      </c>
      <c r="B133" s="47">
        <v>45756</v>
      </c>
      <c r="C133" s="66">
        <v>43441328</v>
      </c>
      <c r="D133" s="156">
        <v>85.3</v>
      </c>
      <c r="E133" s="5">
        <v>17.193999999999999</v>
      </c>
      <c r="F133" s="5">
        <v>17.193999999999999</v>
      </c>
      <c r="G133" s="5">
        <f>F133-E133</f>
        <v>0</v>
      </c>
      <c r="H133" s="16">
        <f t="shared" si="12"/>
        <v>0</v>
      </c>
      <c r="I133" s="16"/>
      <c r="J133" s="16"/>
      <c r="K133" s="19">
        <f t="shared" si="11"/>
        <v>0</v>
      </c>
      <c r="M133" s="13" t="s">
        <v>69</v>
      </c>
    </row>
    <row r="134" spans="1:13" x14ac:dyDescent="0.25">
      <c r="A134" s="1">
        <v>92</v>
      </c>
      <c r="B134" s="47">
        <v>45900</v>
      </c>
      <c r="C134" s="66">
        <v>43441331</v>
      </c>
      <c r="D134" s="156">
        <v>58.5</v>
      </c>
      <c r="E134" s="5">
        <v>41.652000000000001</v>
      </c>
      <c r="F134" s="5">
        <v>41.652000000000001</v>
      </c>
      <c r="G134" s="5">
        <f>F134-E134</f>
        <v>0</v>
      </c>
      <c r="H134" s="16">
        <f t="shared" si="12"/>
        <v>0</v>
      </c>
      <c r="I134" s="16"/>
      <c r="J134" s="16"/>
      <c r="K134" s="19">
        <f t="shared" si="11"/>
        <v>0</v>
      </c>
      <c r="M134" s="13" t="s">
        <v>69</v>
      </c>
    </row>
    <row r="135" spans="1:13" x14ac:dyDescent="0.25">
      <c r="A135" s="1">
        <v>93</v>
      </c>
      <c r="B135" s="47">
        <v>45912</v>
      </c>
      <c r="C135" s="66">
        <v>34242164</v>
      </c>
      <c r="D135" s="156">
        <v>59.3</v>
      </c>
      <c r="E135" s="5">
        <v>22.623000000000001</v>
      </c>
      <c r="F135" s="5">
        <v>22.623000000000001</v>
      </c>
      <c r="G135" s="5">
        <f>F135-E135</f>
        <v>0</v>
      </c>
      <c r="H135" s="16">
        <f t="shared" si="12"/>
        <v>0</v>
      </c>
      <c r="I135" s="16"/>
      <c r="J135" s="16"/>
      <c r="K135" s="19">
        <f t="shared" si="11"/>
        <v>0</v>
      </c>
      <c r="M135" s="13" t="s">
        <v>69</v>
      </c>
    </row>
    <row r="136" spans="1:13" x14ac:dyDescent="0.25">
      <c r="A136" s="1">
        <v>94</v>
      </c>
      <c r="B136" s="47">
        <v>46052</v>
      </c>
      <c r="C136" s="66">
        <v>34242158</v>
      </c>
      <c r="D136" s="156">
        <v>76.8</v>
      </c>
      <c r="E136" s="5">
        <v>34.619</v>
      </c>
      <c r="F136" s="5">
        <v>34.691000000000003</v>
      </c>
      <c r="G136" s="5">
        <f>F136-E136</f>
        <v>7.2000000000002728E-2</v>
      </c>
      <c r="H136" s="16">
        <f>G136*0.8598</f>
        <v>6.1905600000002343E-2</v>
      </c>
      <c r="I136" s="16"/>
      <c r="J136" s="16"/>
      <c r="K136" s="19">
        <f t="shared" si="11"/>
        <v>6.1905600000002343E-2</v>
      </c>
      <c r="M136" s="13" t="s">
        <v>69</v>
      </c>
    </row>
    <row r="137" spans="1:13" x14ac:dyDescent="0.25">
      <c r="A137" s="1">
        <v>95</v>
      </c>
      <c r="B137" s="33"/>
      <c r="C137" s="66">
        <v>34242124</v>
      </c>
      <c r="D137" s="156">
        <v>85.2</v>
      </c>
      <c r="E137" s="5">
        <v>55.872</v>
      </c>
      <c r="F137" s="5">
        <v>55.988999999999997</v>
      </c>
      <c r="G137" s="5"/>
      <c r="H137" s="16">
        <f t="shared" si="12"/>
        <v>0</v>
      </c>
      <c r="I137" s="16">
        <f>(((D137*0.015)*12)/7)/30*7</f>
        <v>0.51119999999999999</v>
      </c>
      <c r="J137" s="16">
        <f>D137/($E$18-$E$20)*$J$17</f>
        <v>-0.1467530066270186</v>
      </c>
      <c r="K137" s="19">
        <f t="shared" si="11"/>
        <v>0.36444699337298136</v>
      </c>
      <c r="M137" s="13" t="s">
        <v>71</v>
      </c>
    </row>
    <row r="138" spans="1:13" x14ac:dyDescent="0.25">
      <c r="A138" s="1">
        <v>96</v>
      </c>
      <c r="B138" s="47">
        <v>45767</v>
      </c>
      <c r="C138" s="66">
        <v>34242122</v>
      </c>
      <c r="D138" s="156">
        <v>58.1</v>
      </c>
      <c r="E138" s="5">
        <v>25.51</v>
      </c>
      <c r="F138" s="5">
        <v>25.51</v>
      </c>
      <c r="G138" s="5">
        <f>F138-E138</f>
        <v>0</v>
      </c>
      <c r="H138" s="16">
        <f>G138*0.8598</f>
        <v>0</v>
      </c>
      <c r="I138" s="16"/>
      <c r="J138" s="16"/>
      <c r="K138" s="19">
        <f t="shared" si="11"/>
        <v>0</v>
      </c>
      <c r="M138" s="13" t="s">
        <v>69</v>
      </c>
    </row>
    <row r="139" spans="1:13" x14ac:dyDescent="0.25">
      <c r="A139" s="1">
        <v>97</v>
      </c>
      <c r="B139" s="47">
        <v>46266</v>
      </c>
      <c r="C139" s="66" t="s">
        <v>146</v>
      </c>
      <c r="D139" s="156">
        <v>57.5</v>
      </c>
      <c r="E139" s="5">
        <v>0</v>
      </c>
      <c r="F139" s="5">
        <v>8.3000000000000004E-2</v>
      </c>
      <c r="G139" s="5"/>
      <c r="H139" s="16">
        <f>F139-E139</f>
        <v>8.3000000000000004E-2</v>
      </c>
      <c r="I139" s="16"/>
      <c r="J139" s="16"/>
      <c r="K139" s="19">
        <f t="shared" si="11"/>
        <v>8.3000000000000004E-2</v>
      </c>
      <c r="M139" s="13" t="s">
        <v>69</v>
      </c>
    </row>
    <row r="140" spans="1:13" x14ac:dyDescent="0.25">
      <c r="A140" s="1">
        <v>98</v>
      </c>
      <c r="B140" s="47">
        <v>45459</v>
      </c>
      <c r="C140" s="66" t="s">
        <v>134</v>
      </c>
      <c r="D140" s="156">
        <v>77</v>
      </c>
      <c r="E140" s="39">
        <v>4.3311000000000002</v>
      </c>
      <c r="F140" s="39">
        <v>4.45</v>
      </c>
      <c r="G140" s="5"/>
      <c r="H140" s="16">
        <f>F140-E140</f>
        <v>0.11890000000000001</v>
      </c>
      <c r="I140" s="16"/>
      <c r="J140" s="16"/>
      <c r="K140" s="19">
        <f t="shared" si="11"/>
        <v>0.11890000000000001</v>
      </c>
      <c r="M140" s="13" t="s">
        <v>69</v>
      </c>
    </row>
    <row r="141" spans="1:13" x14ac:dyDescent="0.25">
      <c r="A141" s="1">
        <v>99</v>
      </c>
      <c r="B141" s="47">
        <v>45767</v>
      </c>
      <c r="C141" s="66">
        <v>34242441</v>
      </c>
      <c r="D141" s="156">
        <v>85.4</v>
      </c>
      <c r="E141" s="5">
        <v>13.664</v>
      </c>
      <c r="F141" s="5">
        <v>13.664</v>
      </c>
      <c r="G141" s="5">
        <f>F141-E141</f>
        <v>0</v>
      </c>
      <c r="H141" s="16">
        <f t="shared" ref="H141:H142" si="15">G141*0.8598</f>
        <v>0</v>
      </c>
      <c r="I141" s="16"/>
      <c r="J141" s="16"/>
      <c r="K141" s="19">
        <f t="shared" si="11"/>
        <v>0</v>
      </c>
      <c r="M141" s="13" t="s">
        <v>69</v>
      </c>
    </row>
    <row r="142" spans="1:13" x14ac:dyDescent="0.25">
      <c r="A142" s="1">
        <v>100</v>
      </c>
      <c r="B142" s="47">
        <v>45585</v>
      </c>
      <c r="C142" s="66">
        <v>34242395</v>
      </c>
      <c r="D142" s="156">
        <v>58.2</v>
      </c>
      <c r="E142" s="5">
        <v>28.568999999999999</v>
      </c>
      <c r="F142" s="5">
        <v>28.568999999999999</v>
      </c>
      <c r="G142" s="5">
        <f>F142-E142</f>
        <v>0</v>
      </c>
      <c r="H142" s="16">
        <f t="shared" si="15"/>
        <v>0</v>
      </c>
      <c r="I142" s="16"/>
      <c r="J142" s="16"/>
      <c r="K142" s="19">
        <f t="shared" si="11"/>
        <v>0</v>
      </c>
      <c r="M142" s="13" t="s">
        <v>69</v>
      </c>
    </row>
    <row r="143" spans="1:13" x14ac:dyDescent="0.25">
      <c r="A143" s="1">
        <v>101</v>
      </c>
      <c r="B143" s="47">
        <v>45459</v>
      </c>
      <c r="C143" s="10" t="s">
        <v>96</v>
      </c>
      <c r="D143" s="156">
        <v>59</v>
      </c>
      <c r="E143" s="39">
        <v>0.1409</v>
      </c>
      <c r="F143" s="39">
        <v>0.14299999999999999</v>
      </c>
      <c r="G143" s="5"/>
      <c r="H143" s="16">
        <f>F143-E143</f>
        <v>2.0999999999999908E-3</v>
      </c>
      <c r="I143" s="16"/>
      <c r="J143" s="16"/>
      <c r="K143" s="19">
        <f t="shared" si="11"/>
        <v>2.0999999999999908E-3</v>
      </c>
      <c r="M143" s="13" t="s">
        <v>69</v>
      </c>
    </row>
    <row r="144" spans="1:13" x14ac:dyDescent="0.25">
      <c r="A144" s="1">
        <v>102</v>
      </c>
      <c r="B144" s="47">
        <v>45809</v>
      </c>
      <c r="C144" s="66">
        <v>34242123</v>
      </c>
      <c r="D144" s="156">
        <v>77.599999999999994</v>
      </c>
      <c r="E144" s="5">
        <v>18.984000000000002</v>
      </c>
      <c r="F144" s="5">
        <v>18.986000000000001</v>
      </c>
      <c r="G144" s="5">
        <f>F144-E144</f>
        <v>1.9999999999988916E-3</v>
      </c>
      <c r="H144" s="16">
        <f>G144*0.8598</f>
        <v>1.7195999999990469E-3</v>
      </c>
      <c r="I144" s="16"/>
      <c r="J144" s="16"/>
      <c r="K144" s="19">
        <f t="shared" si="11"/>
        <v>1.7195999999990469E-3</v>
      </c>
      <c r="M144" s="13" t="s">
        <v>69</v>
      </c>
    </row>
    <row r="145" spans="1:13" x14ac:dyDescent="0.25">
      <c r="A145" s="1">
        <v>103</v>
      </c>
      <c r="B145" s="47">
        <v>45327</v>
      </c>
      <c r="C145" s="10" t="s">
        <v>97</v>
      </c>
      <c r="D145" s="156">
        <v>85.4</v>
      </c>
      <c r="E145" s="5">
        <v>11.253</v>
      </c>
      <c r="F145" s="5">
        <v>11.253</v>
      </c>
      <c r="G145" s="5"/>
      <c r="H145" s="16">
        <f>F145-E145</f>
        <v>0</v>
      </c>
      <c r="I145" s="16"/>
      <c r="J145" s="16"/>
      <c r="K145" s="19">
        <f>H145+I145+J145</f>
        <v>0</v>
      </c>
      <c r="M145" s="13" t="s">
        <v>69</v>
      </c>
    </row>
    <row r="146" spans="1:13" x14ac:dyDescent="0.25">
      <c r="A146" s="1">
        <v>104</v>
      </c>
      <c r="B146" s="47">
        <v>45951</v>
      </c>
      <c r="C146" s="66">
        <v>43242242</v>
      </c>
      <c r="D146" s="156">
        <v>58.8</v>
      </c>
      <c r="E146" s="5">
        <v>43.526000000000003</v>
      </c>
      <c r="F146" s="5">
        <v>43.526000000000003</v>
      </c>
      <c r="G146" s="5">
        <f>F146-E146</f>
        <v>0</v>
      </c>
      <c r="H146" s="16">
        <f>G146*0.8598</f>
        <v>0</v>
      </c>
      <c r="I146" s="16"/>
      <c r="J146" s="16"/>
      <c r="K146" s="19">
        <f t="shared" si="11"/>
        <v>0</v>
      </c>
      <c r="M146" s="13" t="s">
        <v>69</v>
      </c>
    </row>
    <row r="147" spans="1:13" x14ac:dyDescent="0.25">
      <c r="A147" s="1">
        <v>105</v>
      </c>
      <c r="B147" s="34"/>
      <c r="C147" s="66">
        <v>34242113</v>
      </c>
      <c r="D147" s="156">
        <v>59.2</v>
      </c>
      <c r="E147" s="5">
        <v>31.309000000000001</v>
      </c>
      <c r="F147" s="5">
        <v>31.309000000000001</v>
      </c>
      <c r="G147" s="5"/>
      <c r="H147" s="16">
        <f t="shared" si="12"/>
        <v>0</v>
      </c>
      <c r="I147" s="16">
        <f>(((D147*0.015)*12)/7)/30*7</f>
        <v>0.35520000000000007</v>
      </c>
      <c r="J147" s="16">
        <f>D147/($E$18-$E$20)*$J$17</f>
        <v>-0.10196922526196599</v>
      </c>
      <c r="K147" s="19">
        <f t="shared" si="11"/>
        <v>0.25323077473803407</v>
      </c>
      <c r="M147" s="13" t="s">
        <v>71</v>
      </c>
    </row>
    <row r="148" spans="1:13" x14ac:dyDescent="0.25">
      <c r="A148" s="1">
        <v>106</v>
      </c>
      <c r="B148" s="47">
        <v>45703</v>
      </c>
      <c r="C148" s="67">
        <v>34242119</v>
      </c>
      <c r="D148" s="156">
        <v>76.8</v>
      </c>
      <c r="E148" s="5">
        <v>53.92</v>
      </c>
      <c r="F148" s="5">
        <v>53.92</v>
      </c>
      <c r="G148" s="5">
        <f>F148-E148</f>
        <v>0</v>
      </c>
      <c r="H148" s="16">
        <f>G148*0.8598</f>
        <v>0</v>
      </c>
      <c r="I148" s="16"/>
      <c r="J148" s="16"/>
      <c r="K148" s="19">
        <f t="shared" si="11"/>
        <v>0</v>
      </c>
      <c r="L148" s="24"/>
      <c r="M148" s="13" t="s">
        <v>69</v>
      </c>
    </row>
    <row r="149" spans="1:13" x14ac:dyDescent="0.25">
      <c r="A149" s="1">
        <v>107</v>
      </c>
      <c r="B149" s="33"/>
      <c r="C149" s="66">
        <v>34242112</v>
      </c>
      <c r="D149" s="156">
        <v>85.1</v>
      </c>
      <c r="E149" s="5">
        <v>49.277999999999999</v>
      </c>
      <c r="F149" s="5">
        <v>49.368000000000002</v>
      </c>
      <c r="G149" s="5"/>
      <c r="H149" s="16">
        <f t="shared" si="12"/>
        <v>0</v>
      </c>
      <c r="I149" s="16">
        <f>(((D149*0.015)*12)/7)/30*7</f>
        <v>0.51059999999999994</v>
      </c>
      <c r="J149" s="16">
        <f>D149/($E$18-$E$20)*$J$17</f>
        <v>-0.14658076131407607</v>
      </c>
      <c r="K149" s="19">
        <f t="shared" si="11"/>
        <v>0.3640192386859239</v>
      </c>
      <c r="M149" s="13" t="s">
        <v>71</v>
      </c>
    </row>
    <row r="150" spans="1:13" x14ac:dyDescent="0.25">
      <c r="A150" s="1">
        <v>108</v>
      </c>
      <c r="B150" s="47">
        <v>45718</v>
      </c>
      <c r="C150" s="66">
        <v>34242115</v>
      </c>
      <c r="D150" s="156">
        <v>58.5</v>
      </c>
      <c r="E150" s="5">
        <v>17.07</v>
      </c>
      <c r="F150" s="5">
        <v>17.077999999999999</v>
      </c>
      <c r="G150" s="5">
        <f>F150-E150</f>
        <v>7.9999999999991189E-3</v>
      </c>
      <c r="H150" s="16">
        <f t="shared" si="12"/>
        <v>6.8783999999992426E-3</v>
      </c>
      <c r="I150" s="16"/>
      <c r="J150" s="16"/>
      <c r="K150" s="19">
        <f t="shared" si="11"/>
        <v>6.8783999999992426E-3</v>
      </c>
      <c r="L150" s="24"/>
      <c r="M150" s="13" t="s">
        <v>69</v>
      </c>
    </row>
    <row r="151" spans="1:13" x14ac:dyDescent="0.25">
      <c r="A151" s="1">
        <v>109</v>
      </c>
      <c r="B151" s="47">
        <v>45641</v>
      </c>
      <c r="C151" s="66">
        <v>34242118</v>
      </c>
      <c r="D151" s="156">
        <v>59.1</v>
      </c>
      <c r="E151" s="5">
        <v>43.317999999999998</v>
      </c>
      <c r="F151" s="5">
        <v>43.387</v>
      </c>
      <c r="G151" s="5">
        <f>F151-E151</f>
        <v>6.9000000000002615E-2</v>
      </c>
      <c r="H151" s="16">
        <f t="shared" si="12"/>
        <v>5.9326200000002251E-2</v>
      </c>
      <c r="I151" s="16"/>
      <c r="J151" s="16"/>
      <c r="K151" s="19">
        <f t="shared" si="11"/>
        <v>5.9326200000002251E-2</v>
      </c>
      <c r="M151" s="13" t="s">
        <v>69</v>
      </c>
    </row>
    <row r="152" spans="1:13" x14ac:dyDescent="0.25">
      <c r="A152" s="1">
        <v>110</v>
      </c>
      <c r="B152" s="47">
        <v>45955</v>
      </c>
      <c r="C152" s="66" t="s">
        <v>111</v>
      </c>
      <c r="D152" s="156">
        <v>77.099999999999994</v>
      </c>
      <c r="E152" s="39">
        <v>2.3477999999999999</v>
      </c>
      <c r="F152" s="39">
        <v>2.3477999999999999</v>
      </c>
      <c r="G152" s="5"/>
      <c r="H152" s="16">
        <f t="shared" ref="H152:H153" si="16">F152-E152</f>
        <v>0</v>
      </c>
      <c r="I152" s="16"/>
      <c r="J152" s="16"/>
      <c r="K152" s="19">
        <f t="shared" si="11"/>
        <v>0</v>
      </c>
      <c r="M152" s="13" t="s">
        <v>69</v>
      </c>
    </row>
    <row r="153" spans="1:13" x14ac:dyDescent="0.25">
      <c r="A153" s="1">
        <v>111</v>
      </c>
      <c r="B153" s="47">
        <v>45327</v>
      </c>
      <c r="C153" s="10" t="s">
        <v>58</v>
      </c>
      <c r="D153" s="156">
        <v>85.1</v>
      </c>
      <c r="E153" s="39">
        <v>8.9649999999999999</v>
      </c>
      <c r="F153" s="39">
        <v>9.0009999999999994</v>
      </c>
      <c r="G153" s="39"/>
      <c r="H153" s="16">
        <f t="shared" si="16"/>
        <v>3.5999999999999588E-2</v>
      </c>
      <c r="I153" s="16"/>
      <c r="J153" s="16"/>
      <c r="K153" s="19">
        <f t="shared" si="11"/>
        <v>3.5999999999999588E-2</v>
      </c>
      <c r="M153" s="13" t="s">
        <v>69</v>
      </c>
    </row>
    <row r="154" spans="1:13" x14ac:dyDescent="0.25">
      <c r="A154" s="1">
        <v>112</v>
      </c>
      <c r="B154" s="47">
        <v>45622</v>
      </c>
      <c r="C154" s="66">
        <v>34242117</v>
      </c>
      <c r="D154" s="156">
        <v>57.5</v>
      </c>
      <c r="E154" s="5">
        <v>21.9</v>
      </c>
      <c r="F154" s="5">
        <v>21.913</v>
      </c>
      <c r="G154" s="5">
        <f t="shared" ref="G154:G162" si="17">F154-E154</f>
        <v>1.3000000000001677E-2</v>
      </c>
      <c r="H154" s="16">
        <f t="shared" ref="H154:H182" si="18">G154*0.8598</f>
        <v>1.1177400000001442E-2</v>
      </c>
      <c r="I154" s="16"/>
      <c r="J154" s="16"/>
      <c r="K154" s="19">
        <f t="shared" si="11"/>
        <v>1.1177400000001442E-2</v>
      </c>
      <c r="M154" s="13" t="s">
        <v>69</v>
      </c>
    </row>
    <row r="155" spans="1:13" x14ac:dyDescent="0.25">
      <c r="A155" s="1">
        <v>113</v>
      </c>
      <c r="B155" s="47">
        <v>45957</v>
      </c>
      <c r="C155" s="66">
        <v>34242125</v>
      </c>
      <c r="D155" s="156">
        <v>58.9</v>
      </c>
      <c r="E155" s="5">
        <v>23.247</v>
      </c>
      <c r="F155" s="5">
        <v>23.300999999999998</v>
      </c>
      <c r="G155" s="5">
        <f t="shared" si="17"/>
        <v>5.3999999999998494E-2</v>
      </c>
      <c r="H155" s="16">
        <f t="shared" si="18"/>
        <v>4.6429199999998706E-2</v>
      </c>
      <c r="I155" s="16"/>
      <c r="J155" s="16"/>
      <c r="K155" s="19">
        <f t="shared" si="11"/>
        <v>4.6429199999998706E-2</v>
      </c>
      <c r="M155" s="13" t="s">
        <v>69</v>
      </c>
    </row>
    <row r="156" spans="1:13" x14ac:dyDescent="0.25">
      <c r="A156" s="1">
        <v>114</v>
      </c>
      <c r="B156" s="48">
        <v>45875</v>
      </c>
      <c r="C156" s="66">
        <v>34242154</v>
      </c>
      <c r="D156" s="156">
        <v>77.099999999999994</v>
      </c>
      <c r="E156" s="5">
        <v>6.444</v>
      </c>
      <c r="F156" s="5">
        <v>6.444</v>
      </c>
      <c r="G156" s="5">
        <f t="shared" si="17"/>
        <v>0</v>
      </c>
      <c r="H156" s="16">
        <f t="shared" si="18"/>
        <v>0</v>
      </c>
      <c r="I156" s="16"/>
      <c r="J156" s="16"/>
      <c r="K156" s="19">
        <f t="shared" si="11"/>
        <v>0</v>
      </c>
      <c r="M156" s="13" t="s">
        <v>69</v>
      </c>
    </row>
    <row r="157" spans="1:13" x14ac:dyDescent="0.25">
      <c r="A157" s="1">
        <v>115</v>
      </c>
      <c r="B157" s="47">
        <v>45912</v>
      </c>
      <c r="C157" s="66">
        <v>34242149</v>
      </c>
      <c r="D157" s="156">
        <v>85.3</v>
      </c>
      <c r="E157" s="5">
        <v>35.655999999999999</v>
      </c>
      <c r="F157" s="5">
        <v>35.655999999999999</v>
      </c>
      <c r="G157" s="5">
        <f t="shared" si="17"/>
        <v>0</v>
      </c>
      <c r="H157" s="16">
        <f t="shared" si="18"/>
        <v>0</v>
      </c>
      <c r="I157" s="16"/>
      <c r="J157" s="16"/>
      <c r="K157" s="19">
        <f t="shared" si="11"/>
        <v>0</v>
      </c>
      <c r="M157" s="13" t="s">
        <v>69</v>
      </c>
    </row>
    <row r="158" spans="1:13" x14ac:dyDescent="0.25">
      <c r="A158" s="1">
        <v>116</v>
      </c>
      <c r="B158" s="47">
        <v>46112</v>
      </c>
      <c r="C158" s="66">
        <v>34242157</v>
      </c>
      <c r="D158" s="156">
        <v>59.6</v>
      </c>
      <c r="E158" s="5">
        <v>26.864999999999998</v>
      </c>
      <c r="F158" s="5">
        <v>26.864999999999998</v>
      </c>
      <c r="G158" s="5">
        <f t="shared" si="17"/>
        <v>0</v>
      </c>
      <c r="H158" s="16">
        <f t="shared" si="18"/>
        <v>0</v>
      </c>
      <c r="I158" s="16"/>
      <c r="J158" s="16"/>
      <c r="K158" s="19">
        <f t="shared" si="11"/>
        <v>0</v>
      </c>
      <c r="M158" s="13" t="s">
        <v>69</v>
      </c>
    </row>
    <row r="159" spans="1:13" x14ac:dyDescent="0.25">
      <c r="A159" s="1">
        <v>117</v>
      </c>
      <c r="B159" s="47">
        <v>45732</v>
      </c>
      <c r="C159" s="66">
        <v>41341239</v>
      </c>
      <c r="D159" s="156">
        <v>59</v>
      </c>
      <c r="E159" s="5">
        <v>13.278</v>
      </c>
      <c r="F159" s="5">
        <v>13.278</v>
      </c>
      <c r="G159" s="5">
        <f t="shared" si="17"/>
        <v>0</v>
      </c>
      <c r="H159" s="16">
        <f t="shared" si="18"/>
        <v>0</v>
      </c>
      <c r="I159" s="16"/>
      <c r="J159" s="16"/>
      <c r="K159" s="19">
        <f t="shared" si="11"/>
        <v>0</v>
      </c>
      <c r="M159" s="13" t="s">
        <v>69</v>
      </c>
    </row>
    <row r="160" spans="1:13" x14ac:dyDescent="0.25">
      <c r="A160" s="1">
        <v>118</v>
      </c>
      <c r="B160" s="47">
        <v>45718</v>
      </c>
      <c r="C160" s="66">
        <v>34242156</v>
      </c>
      <c r="D160" s="156">
        <v>78</v>
      </c>
      <c r="E160" s="5">
        <v>11.018000000000001</v>
      </c>
      <c r="F160" s="5">
        <v>11.022</v>
      </c>
      <c r="G160" s="5">
        <f t="shared" si="17"/>
        <v>3.9999999999995595E-3</v>
      </c>
      <c r="H160" s="16">
        <f t="shared" si="18"/>
        <v>3.4391999999996213E-3</v>
      </c>
      <c r="I160" s="16"/>
      <c r="J160" s="16"/>
      <c r="K160" s="19">
        <f t="shared" si="11"/>
        <v>3.4391999999996213E-3</v>
      </c>
      <c r="M160" s="13" t="s">
        <v>69</v>
      </c>
    </row>
    <row r="161" spans="1:16" x14ac:dyDescent="0.25">
      <c r="A161" s="1">
        <v>119</v>
      </c>
      <c r="B161" s="47">
        <v>45755</v>
      </c>
      <c r="C161" s="66">
        <v>34242162</v>
      </c>
      <c r="D161" s="156">
        <v>85.5</v>
      </c>
      <c r="E161" s="5">
        <v>33.959000000000003</v>
      </c>
      <c r="F161" s="5">
        <v>33.959000000000003</v>
      </c>
      <c r="G161" s="5">
        <f t="shared" si="17"/>
        <v>0</v>
      </c>
      <c r="H161" s="16">
        <f t="shared" si="18"/>
        <v>0</v>
      </c>
      <c r="I161" s="16"/>
      <c r="J161" s="16"/>
      <c r="K161" s="19">
        <f t="shared" si="11"/>
        <v>0</v>
      </c>
      <c r="M161" s="13" t="s">
        <v>69</v>
      </c>
    </row>
    <row r="162" spans="1:16" x14ac:dyDescent="0.25">
      <c r="A162" s="1">
        <v>120</v>
      </c>
      <c r="B162" s="47">
        <v>45922</v>
      </c>
      <c r="C162" s="66">
        <v>20140179</v>
      </c>
      <c r="D162" s="156">
        <v>58.9</v>
      </c>
      <c r="E162" s="5">
        <v>32.250999999999998</v>
      </c>
      <c r="F162" s="5">
        <v>32.262</v>
      </c>
      <c r="G162" s="5">
        <f t="shared" si="17"/>
        <v>1.1000000000002785E-2</v>
      </c>
      <c r="H162" s="16">
        <f t="shared" si="18"/>
        <v>9.4578000000023945E-3</v>
      </c>
      <c r="I162" s="16"/>
      <c r="J162" s="16"/>
      <c r="K162" s="19">
        <f t="shared" si="11"/>
        <v>9.4578000000023945E-3</v>
      </c>
      <c r="M162" s="13" t="s">
        <v>69</v>
      </c>
    </row>
    <row r="163" spans="1:16" x14ac:dyDescent="0.25">
      <c r="A163" s="1">
        <v>121</v>
      </c>
      <c r="B163" s="33"/>
      <c r="C163" s="66">
        <v>34242161</v>
      </c>
      <c r="D163" s="156">
        <v>59.2</v>
      </c>
      <c r="E163" s="5">
        <v>36.322000000000003</v>
      </c>
      <c r="F163" s="5">
        <v>36.426000000000002</v>
      </c>
      <c r="G163" s="5"/>
      <c r="H163" s="16">
        <f t="shared" si="18"/>
        <v>0</v>
      </c>
      <c r="I163" s="16">
        <f t="shared" ref="I163:I164" si="19">(((D163*0.015)*12)/7)/30*7</f>
        <v>0.35520000000000007</v>
      </c>
      <c r="J163" s="16">
        <f t="shared" ref="J163:J164" si="20">D163/($E$18-$E$20)*$J$17</f>
        <v>-0.10196922526196599</v>
      </c>
      <c r="K163" s="19">
        <f t="shared" si="11"/>
        <v>0.25323077473803407</v>
      </c>
      <c r="M163" s="13" t="s">
        <v>71</v>
      </c>
    </row>
    <row r="164" spans="1:16" x14ac:dyDescent="0.25">
      <c r="A164" s="1">
        <v>122</v>
      </c>
      <c r="B164" s="34"/>
      <c r="C164" s="66">
        <v>34242151</v>
      </c>
      <c r="D164" s="156">
        <v>78.099999999999994</v>
      </c>
      <c r="E164" s="5">
        <v>32.704000000000001</v>
      </c>
      <c r="F164" s="5">
        <v>32.914999999999999</v>
      </c>
      <c r="G164" s="5"/>
      <c r="H164" s="16">
        <f t="shared" si="18"/>
        <v>0</v>
      </c>
      <c r="I164" s="16">
        <f t="shared" si="19"/>
        <v>0.46859999999999985</v>
      </c>
      <c r="J164" s="16">
        <f t="shared" si="20"/>
        <v>-0.13452358940810039</v>
      </c>
      <c r="K164" s="19">
        <f t="shared" si="11"/>
        <v>0.33407641059189946</v>
      </c>
      <c r="M164" s="13" t="s">
        <v>71</v>
      </c>
    </row>
    <row r="165" spans="1:16" x14ac:dyDescent="0.25">
      <c r="A165" s="1">
        <v>123</v>
      </c>
      <c r="B165" s="47">
        <v>45748</v>
      </c>
      <c r="C165" s="66">
        <v>34242148</v>
      </c>
      <c r="D165" s="156">
        <v>85.2</v>
      </c>
      <c r="E165" s="5">
        <v>15.436999999999999</v>
      </c>
      <c r="F165" s="5">
        <v>15.489000000000001</v>
      </c>
      <c r="G165" s="5">
        <f>F165-E165</f>
        <v>5.2000000000001378E-2</v>
      </c>
      <c r="H165" s="16">
        <f t="shared" si="18"/>
        <v>4.4709600000001189E-2</v>
      </c>
      <c r="I165" s="16"/>
      <c r="J165" s="16"/>
      <c r="K165" s="19">
        <f t="shared" si="11"/>
        <v>4.4709600000001189E-2</v>
      </c>
      <c r="M165" s="13" t="s">
        <v>69</v>
      </c>
    </row>
    <row r="166" spans="1:16" x14ac:dyDescent="0.25">
      <c r="A166" s="1">
        <v>124</v>
      </c>
      <c r="B166" s="47">
        <v>45747</v>
      </c>
      <c r="C166" s="66">
        <v>34242163</v>
      </c>
      <c r="D166" s="156">
        <v>59.3</v>
      </c>
      <c r="E166" s="5">
        <v>36.875999999999998</v>
      </c>
      <c r="F166" s="5">
        <v>36.911000000000001</v>
      </c>
      <c r="G166" s="5">
        <f>F166-E166</f>
        <v>3.5000000000003695E-2</v>
      </c>
      <c r="H166" s="16">
        <f t="shared" si="18"/>
        <v>3.0093000000003176E-2</v>
      </c>
      <c r="I166" s="16"/>
      <c r="J166" s="16"/>
      <c r="K166" s="19">
        <f t="shared" si="11"/>
        <v>3.0093000000003176E-2</v>
      </c>
      <c r="M166" s="13" t="s">
        <v>69</v>
      </c>
    </row>
    <row r="167" spans="1:16" x14ac:dyDescent="0.25">
      <c r="A167" s="1">
        <v>125</v>
      </c>
      <c r="B167" s="47">
        <v>45944</v>
      </c>
      <c r="C167" s="66">
        <v>34242153</v>
      </c>
      <c r="D167" s="156">
        <v>59.2</v>
      </c>
      <c r="E167" s="5">
        <v>44.064</v>
      </c>
      <c r="F167" s="5">
        <v>44.176000000000002</v>
      </c>
      <c r="G167" s="5">
        <f>F167-E167</f>
        <v>0.11200000000000188</v>
      </c>
      <c r="H167" s="16">
        <f t="shared" si="18"/>
        <v>9.6297600000001607E-2</v>
      </c>
      <c r="I167" s="16"/>
      <c r="J167" s="16"/>
      <c r="K167" s="19">
        <f t="shared" si="11"/>
        <v>9.6297600000001607E-2</v>
      </c>
      <c r="M167" s="13" t="s">
        <v>69</v>
      </c>
    </row>
    <row r="168" spans="1:16" x14ac:dyDescent="0.25">
      <c r="A168" s="1">
        <v>126</v>
      </c>
      <c r="B168" s="48">
        <v>45875</v>
      </c>
      <c r="C168" s="66">
        <v>20140213</v>
      </c>
      <c r="D168" s="156">
        <v>77.599999999999994</v>
      </c>
      <c r="E168" s="5">
        <v>6.8339999999999996</v>
      </c>
      <c r="F168" s="5">
        <v>6.8339999999999996</v>
      </c>
      <c r="G168" s="5">
        <f>F168-E168</f>
        <v>0</v>
      </c>
      <c r="H168" s="16">
        <f t="shared" si="18"/>
        <v>0</v>
      </c>
      <c r="I168" s="16"/>
      <c r="J168" s="16"/>
      <c r="K168" s="19">
        <f t="shared" si="11"/>
        <v>0</v>
      </c>
      <c r="M168" s="13" t="s">
        <v>69</v>
      </c>
    </row>
    <row r="169" spans="1:16" x14ac:dyDescent="0.25">
      <c r="A169" s="1">
        <v>127</v>
      </c>
      <c r="B169" s="33"/>
      <c r="C169" s="66">
        <v>34242152</v>
      </c>
      <c r="D169" s="156">
        <v>85.2</v>
      </c>
      <c r="E169" s="5">
        <v>82.391000000000005</v>
      </c>
      <c r="F169" s="5">
        <v>82.522999999999996</v>
      </c>
      <c r="G169" s="5"/>
      <c r="H169" s="16">
        <f t="shared" si="18"/>
        <v>0</v>
      </c>
      <c r="I169" s="16">
        <f>(((D169*0.015)*12)/7)/30*7</f>
        <v>0.51119999999999999</v>
      </c>
      <c r="J169" s="16">
        <f t="shared" ref="J169" si="21">D169/($E$18-$E$20)*$J$17</f>
        <v>-0.1467530066270186</v>
      </c>
      <c r="K169" s="19">
        <f t="shared" si="11"/>
        <v>0.36444699337298136</v>
      </c>
      <c r="M169" s="13" t="s">
        <v>71</v>
      </c>
    </row>
    <row r="170" spans="1:16" x14ac:dyDescent="0.25">
      <c r="A170" s="1">
        <v>128</v>
      </c>
      <c r="B170" s="47">
        <v>46165</v>
      </c>
      <c r="C170" s="66">
        <v>34242147</v>
      </c>
      <c r="D170" s="156">
        <v>58.9</v>
      </c>
      <c r="E170" s="5">
        <v>24.864000000000001</v>
      </c>
      <c r="F170" s="5">
        <v>24.952999999999999</v>
      </c>
      <c r="G170" s="5">
        <f>F170-E170</f>
        <v>8.8999999999998636E-2</v>
      </c>
      <c r="H170" s="16">
        <f t="shared" si="18"/>
        <v>7.6522199999998833E-2</v>
      </c>
      <c r="I170" s="16"/>
      <c r="J170" s="16"/>
      <c r="K170" s="19">
        <f t="shared" si="11"/>
        <v>7.6522199999998833E-2</v>
      </c>
      <c r="M170" s="13" t="s">
        <v>69</v>
      </c>
    </row>
    <row r="171" spans="1:16" x14ac:dyDescent="0.25">
      <c r="A171" s="1">
        <v>129</v>
      </c>
      <c r="B171" s="47">
        <v>45984</v>
      </c>
      <c r="C171" s="66" t="s">
        <v>112</v>
      </c>
      <c r="D171" s="156">
        <v>58.6</v>
      </c>
      <c r="E171" s="39">
        <v>3.2930000000000001</v>
      </c>
      <c r="F171" s="39">
        <v>3.3180000000000001</v>
      </c>
      <c r="G171" s="5"/>
      <c r="H171" s="16">
        <f>F171-E171</f>
        <v>2.4999999999999911E-2</v>
      </c>
      <c r="I171" s="16"/>
      <c r="J171" s="16"/>
      <c r="K171" s="19">
        <f t="shared" si="11"/>
        <v>2.4999999999999911E-2</v>
      </c>
      <c r="M171" s="13" t="s">
        <v>69</v>
      </c>
    </row>
    <row r="172" spans="1:16" ht="15.75" thickBot="1" x14ac:dyDescent="0.3">
      <c r="A172" s="15">
        <v>130</v>
      </c>
      <c r="B172" s="48">
        <v>45875</v>
      </c>
      <c r="C172" s="68">
        <v>34242150</v>
      </c>
      <c r="D172" s="90">
        <v>77.599999999999994</v>
      </c>
      <c r="E172" s="8">
        <v>6.798</v>
      </c>
      <c r="F172" s="8">
        <v>6.798</v>
      </c>
      <c r="G172" s="5">
        <f>F172-E172</f>
        <v>0</v>
      </c>
      <c r="H172" s="16">
        <f>G172*0.8598</f>
        <v>0</v>
      </c>
      <c r="I172" s="16"/>
      <c r="J172" s="16"/>
      <c r="K172" s="19">
        <f t="shared" si="11"/>
        <v>0</v>
      </c>
      <c r="M172" s="13" t="s">
        <v>69</v>
      </c>
      <c r="O172" s="12"/>
      <c r="P172" s="12"/>
    </row>
    <row r="173" spans="1:16" ht="15.75" thickBot="1" x14ac:dyDescent="0.3">
      <c r="A173" s="219" t="s">
        <v>75</v>
      </c>
      <c r="B173" s="220"/>
      <c r="C173" s="220"/>
      <c r="D173" s="92">
        <f>SUM(D117:D172)</f>
        <v>3918.9999999999991</v>
      </c>
      <c r="E173" s="221" t="s">
        <v>76</v>
      </c>
      <c r="F173" s="221"/>
      <c r="G173" s="221"/>
      <c r="H173" s="64">
        <f>SUM(H117:H172)</f>
        <v>1.2761964000000052</v>
      </c>
      <c r="I173" s="64">
        <f>SUM(I117:I172)</f>
        <v>4.2371999999999996</v>
      </c>
      <c r="J173" s="64">
        <f>SUM(J117:J172)</f>
        <v>-1.2163964000000063</v>
      </c>
      <c r="K173" s="93">
        <f>SUM(K117:K172)</f>
        <v>4.2969999999999988</v>
      </c>
      <c r="M173" s="13"/>
    </row>
    <row r="174" spans="1:16" x14ac:dyDescent="0.25">
      <c r="A174" s="9">
        <v>131</v>
      </c>
      <c r="B174" s="105">
        <v>45957</v>
      </c>
      <c r="C174" s="69" t="s">
        <v>113</v>
      </c>
      <c r="D174" s="155">
        <v>84.1</v>
      </c>
      <c r="E174" s="6">
        <v>6.3220000000000001</v>
      </c>
      <c r="F174" s="6">
        <v>6.4009999999999998</v>
      </c>
      <c r="G174" s="6"/>
      <c r="H174" s="19">
        <f>F174-E174</f>
        <v>7.8999999999999737E-2</v>
      </c>
      <c r="I174" s="19"/>
      <c r="J174" s="19"/>
      <c r="K174" s="19">
        <f>H174+I174+J174</f>
        <v>7.8999999999999737E-2</v>
      </c>
      <c r="M174" s="13" t="s">
        <v>69</v>
      </c>
      <c r="O174" s="12"/>
    </row>
    <row r="175" spans="1:16" x14ac:dyDescent="0.25">
      <c r="A175" s="1">
        <v>132</v>
      </c>
      <c r="B175" s="47">
        <v>45915</v>
      </c>
      <c r="C175" s="66">
        <v>43242256</v>
      </c>
      <c r="D175" s="156">
        <v>56.3</v>
      </c>
      <c r="E175" s="5">
        <v>31.163</v>
      </c>
      <c r="F175" s="5">
        <v>31.193000000000001</v>
      </c>
      <c r="G175" s="5">
        <f>F175-E175</f>
        <v>3.0000000000001137E-2</v>
      </c>
      <c r="H175" s="16">
        <f t="shared" si="18"/>
        <v>2.5794000000000979E-2</v>
      </c>
      <c r="I175" s="16"/>
      <c r="J175" s="16"/>
      <c r="K175" s="19">
        <f t="shared" ref="K175:K225" si="22">H175+I175+J175</f>
        <v>2.5794000000000979E-2</v>
      </c>
      <c r="M175" s="13" t="s">
        <v>69</v>
      </c>
    </row>
    <row r="176" spans="1:16" x14ac:dyDescent="0.25">
      <c r="A176" s="1">
        <v>133</v>
      </c>
      <c r="B176" s="47">
        <v>45719</v>
      </c>
      <c r="C176" s="66">
        <v>43242235</v>
      </c>
      <c r="D176" s="156">
        <v>56.1</v>
      </c>
      <c r="E176" s="5">
        <v>13.827999999999999</v>
      </c>
      <c r="F176" s="5">
        <v>13.827999999999999</v>
      </c>
      <c r="G176" s="5">
        <f>F176-E176</f>
        <v>0</v>
      </c>
      <c r="H176" s="16">
        <f t="shared" si="18"/>
        <v>0</v>
      </c>
      <c r="I176" s="16"/>
      <c r="J176" s="16"/>
      <c r="K176" s="19">
        <f t="shared" si="22"/>
        <v>0</v>
      </c>
      <c r="M176" s="13" t="s">
        <v>69</v>
      </c>
    </row>
    <row r="177" spans="1:15" x14ac:dyDescent="0.25">
      <c r="A177" s="1">
        <v>134</v>
      </c>
      <c r="B177" s="47">
        <v>45825</v>
      </c>
      <c r="C177" s="66">
        <v>43242250</v>
      </c>
      <c r="D177" s="156">
        <v>85.2</v>
      </c>
      <c r="E177" s="5">
        <v>35.106999999999999</v>
      </c>
      <c r="F177" s="5">
        <v>35.232999999999997</v>
      </c>
      <c r="G177" s="5">
        <f>F177-E177</f>
        <v>0.12599999999999767</v>
      </c>
      <c r="H177" s="16">
        <f t="shared" si="18"/>
        <v>0.108334799999998</v>
      </c>
      <c r="I177" s="16"/>
      <c r="J177" s="16"/>
      <c r="K177" s="19">
        <f t="shared" si="22"/>
        <v>0.108334799999998</v>
      </c>
      <c r="M177" s="13" t="s">
        <v>69</v>
      </c>
    </row>
    <row r="178" spans="1:15" x14ac:dyDescent="0.25">
      <c r="A178" s="1">
        <v>135</v>
      </c>
      <c r="B178" s="47">
        <v>45941</v>
      </c>
      <c r="C178" s="66">
        <v>34242382</v>
      </c>
      <c r="D178" s="156">
        <v>84.4</v>
      </c>
      <c r="E178" s="5">
        <v>70.432000000000002</v>
      </c>
      <c r="F178" s="5">
        <v>71.007000000000005</v>
      </c>
      <c r="G178" s="5">
        <f>F178-E178</f>
        <v>0.57500000000000284</v>
      </c>
      <c r="H178" s="16">
        <f t="shared" si="18"/>
        <v>0.49438500000000246</v>
      </c>
      <c r="I178" s="16"/>
      <c r="J178" s="16"/>
      <c r="K178" s="19">
        <f t="shared" si="22"/>
        <v>0.49438500000000246</v>
      </c>
      <c r="M178" s="13" t="s">
        <v>69</v>
      </c>
    </row>
    <row r="179" spans="1:15" x14ac:dyDescent="0.25">
      <c r="A179" s="1">
        <v>136</v>
      </c>
      <c r="B179" s="33"/>
      <c r="C179" s="66">
        <v>43242379</v>
      </c>
      <c r="D179" s="156">
        <v>56.2</v>
      </c>
      <c r="E179" s="5">
        <v>43.58</v>
      </c>
      <c r="F179" s="5">
        <v>43.692</v>
      </c>
      <c r="G179" s="5"/>
      <c r="H179" s="16">
        <f t="shared" si="18"/>
        <v>0</v>
      </c>
      <c r="I179" s="16">
        <f>(((D179*0.015)*12)/7)/30*7</f>
        <v>0.33719999999999994</v>
      </c>
      <c r="J179" s="16">
        <f>D179/($E$25-$E$27)*$J$24</f>
        <v>-0.14351853837990741</v>
      </c>
      <c r="K179" s="19">
        <f t="shared" si="22"/>
        <v>0.19368146162009253</v>
      </c>
      <c r="M179" s="13" t="s">
        <v>71</v>
      </c>
      <c r="O179" s="12"/>
    </row>
    <row r="180" spans="1:15" x14ac:dyDescent="0.25">
      <c r="A180" s="1">
        <v>137</v>
      </c>
      <c r="B180" s="47">
        <v>45580</v>
      </c>
      <c r="C180" s="66">
        <v>43242240</v>
      </c>
      <c r="D180" s="156">
        <v>55.7</v>
      </c>
      <c r="E180" s="5">
        <v>29.716000000000001</v>
      </c>
      <c r="F180" s="5">
        <v>29.81</v>
      </c>
      <c r="G180" s="5">
        <f>F180-E180</f>
        <v>9.3999999999997641E-2</v>
      </c>
      <c r="H180" s="16">
        <f t="shared" si="18"/>
        <v>8.082119999999797E-2</v>
      </c>
      <c r="I180" s="16"/>
      <c r="J180" s="16"/>
      <c r="K180" s="19">
        <f>H180+I180+J180</f>
        <v>8.082119999999797E-2</v>
      </c>
      <c r="M180" s="13" t="s">
        <v>69</v>
      </c>
    </row>
    <row r="181" spans="1:15" x14ac:dyDescent="0.25">
      <c r="A181" s="1">
        <v>138</v>
      </c>
      <c r="B181" s="47">
        <v>45580</v>
      </c>
      <c r="C181" s="66">
        <v>43242241</v>
      </c>
      <c r="D181" s="156">
        <v>84.3</v>
      </c>
      <c r="E181" s="5">
        <v>60.895000000000003</v>
      </c>
      <c r="F181" s="5">
        <v>61.067999999999998</v>
      </c>
      <c r="G181" s="5">
        <f>F181-E181</f>
        <v>0.17299999999999471</v>
      </c>
      <c r="H181" s="16">
        <f t="shared" si="18"/>
        <v>0.14874539999999545</v>
      </c>
      <c r="I181" s="16"/>
      <c r="J181" s="16"/>
      <c r="K181" s="19">
        <f t="shared" si="22"/>
        <v>0.14874539999999545</v>
      </c>
      <c r="M181" s="13" t="s">
        <v>69</v>
      </c>
    </row>
    <row r="182" spans="1:15" x14ac:dyDescent="0.25">
      <c r="A182" s="1">
        <v>139</v>
      </c>
      <c r="B182" s="47">
        <v>45725</v>
      </c>
      <c r="C182" s="66">
        <v>34242385</v>
      </c>
      <c r="D182" s="156">
        <v>84</v>
      </c>
      <c r="E182" s="5">
        <v>10.619</v>
      </c>
      <c r="F182" s="5">
        <v>10.619</v>
      </c>
      <c r="G182" s="5">
        <f>F182-E182</f>
        <v>0</v>
      </c>
      <c r="H182" s="16">
        <f t="shared" si="18"/>
        <v>0</v>
      </c>
      <c r="I182" s="16"/>
      <c r="J182" s="16"/>
      <c r="K182" s="19">
        <f>H182+I182+J182</f>
        <v>0</v>
      </c>
      <c r="M182" s="13" t="s">
        <v>69</v>
      </c>
    </row>
    <row r="183" spans="1:15" x14ac:dyDescent="0.25">
      <c r="A183" s="1">
        <v>140</v>
      </c>
      <c r="B183" s="47">
        <v>45928</v>
      </c>
      <c r="C183" s="10" t="s">
        <v>103</v>
      </c>
      <c r="D183" s="156">
        <v>55.6</v>
      </c>
      <c r="E183" s="5">
        <v>5.5739999999999998</v>
      </c>
      <c r="F183" s="5">
        <v>5.66</v>
      </c>
      <c r="G183" s="5"/>
      <c r="H183" s="16">
        <f>F183-E183</f>
        <v>8.6000000000000298E-2</v>
      </c>
      <c r="I183" s="16"/>
      <c r="J183" s="16"/>
      <c r="K183" s="19">
        <f t="shared" si="22"/>
        <v>8.6000000000000298E-2</v>
      </c>
      <c r="M183" s="13" t="s">
        <v>69</v>
      </c>
    </row>
    <row r="184" spans="1:15" x14ac:dyDescent="0.25">
      <c r="A184" s="1">
        <v>141</v>
      </c>
      <c r="B184" s="47">
        <v>46273</v>
      </c>
      <c r="C184" s="66">
        <v>34242390</v>
      </c>
      <c r="D184" s="156">
        <v>56.4</v>
      </c>
      <c r="E184" s="5">
        <v>19.8</v>
      </c>
      <c r="F184" s="5">
        <v>19.802</v>
      </c>
      <c r="G184" s="5">
        <f>F184-E184</f>
        <v>1.9999999999988916E-3</v>
      </c>
      <c r="H184" s="16">
        <f>G184*0.8598</f>
        <v>1.7195999999990469E-3</v>
      </c>
      <c r="I184" s="16"/>
      <c r="J184" s="16"/>
      <c r="K184" s="19">
        <f t="shared" si="22"/>
        <v>1.7195999999990469E-3</v>
      </c>
      <c r="M184" s="13" t="s">
        <v>69</v>
      </c>
      <c r="O184" s="12"/>
    </row>
    <row r="185" spans="1:15" x14ac:dyDescent="0.25">
      <c r="A185" s="1">
        <v>142</v>
      </c>
      <c r="B185" s="33" t="s">
        <v>147</v>
      </c>
      <c r="C185" s="10" t="s">
        <v>77</v>
      </c>
      <c r="D185" s="156">
        <v>84.1</v>
      </c>
      <c r="E185" s="39">
        <v>4.8487</v>
      </c>
      <c r="F185" s="39">
        <v>4.8789999999999996</v>
      </c>
      <c r="G185" s="5"/>
      <c r="H185" s="16">
        <f>F185-E185</f>
        <v>3.029999999999955E-2</v>
      </c>
      <c r="I185" s="16"/>
      <c r="J185" s="16"/>
      <c r="K185" s="19">
        <f t="shared" si="22"/>
        <v>3.029999999999955E-2</v>
      </c>
      <c r="M185" s="13" t="s">
        <v>69</v>
      </c>
    </row>
    <row r="186" spans="1:15" x14ac:dyDescent="0.25">
      <c r="A186" s="1">
        <v>143</v>
      </c>
      <c r="B186" s="47">
        <v>45915</v>
      </c>
      <c r="C186" s="66">
        <v>34242383</v>
      </c>
      <c r="D186" s="156">
        <v>83.5</v>
      </c>
      <c r="E186" s="5">
        <v>38.744</v>
      </c>
      <c r="F186" s="5">
        <v>38.877000000000002</v>
      </c>
      <c r="G186" s="5">
        <f>F186-E186</f>
        <v>0.13300000000000267</v>
      </c>
      <c r="H186" s="16">
        <f t="shared" ref="H186:H214" si="23">G186*0.8598</f>
        <v>0.1143534000000023</v>
      </c>
      <c r="I186" s="16"/>
      <c r="J186" s="16"/>
      <c r="K186" s="19">
        <f t="shared" si="22"/>
        <v>0.1143534000000023</v>
      </c>
      <c r="M186" s="13" t="s">
        <v>69</v>
      </c>
    </row>
    <row r="187" spans="1:15" x14ac:dyDescent="0.25">
      <c r="A187" s="1">
        <v>144</v>
      </c>
      <c r="B187" s="34"/>
      <c r="C187" s="66">
        <v>34242379</v>
      </c>
      <c r="D187" s="156">
        <v>56.3</v>
      </c>
      <c r="E187" s="5">
        <v>25.262</v>
      </c>
      <c r="F187" s="5">
        <v>25.3</v>
      </c>
      <c r="G187" s="5"/>
      <c r="H187" s="16">
        <f t="shared" si="23"/>
        <v>0</v>
      </c>
      <c r="I187" s="16">
        <f>(((D187*0.015)*12)/7)/30*7</f>
        <v>0.33779999999999999</v>
      </c>
      <c r="J187" s="16">
        <f>D187/($E$25-$E$27)*$J$24</f>
        <v>-0.14377390944464033</v>
      </c>
      <c r="K187" s="19">
        <f t="shared" si="22"/>
        <v>0.19402609055535966</v>
      </c>
      <c r="M187" s="13" t="s">
        <v>71</v>
      </c>
      <c r="O187" s="12"/>
    </row>
    <row r="188" spans="1:15" x14ac:dyDescent="0.25">
      <c r="A188" s="1">
        <v>145</v>
      </c>
      <c r="B188" s="47">
        <v>45829</v>
      </c>
      <c r="C188" s="66">
        <v>34242386</v>
      </c>
      <c r="D188" s="156">
        <v>56.6</v>
      </c>
      <c r="E188" s="5">
        <v>21.713999999999999</v>
      </c>
      <c r="F188" s="5">
        <v>21.779</v>
      </c>
      <c r="G188" s="5">
        <f>F188-E188</f>
        <v>6.5000000000001279E-2</v>
      </c>
      <c r="H188" s="16">
        <f t="shared" si="23"/>
        <v>5.5887000000001102E-2</v>
      </c>
      <c r="I188" s="16"/>
      <c r="J188" s="16"/>
      <c r="K188" s="19">
        <f t="shared" si="22"/>
        <v>5.5887000000001102E-2</v>
      </c>
      <c r="M188" s="13" t="s">
        <v>69</v>
      </c>
    </row>
    <row r="189" spans="1:15" x14ac:dyDescent="0.25">
      <c r="A189" s="1">
        <v>146</v>
      </c>
      <c r="B189" s="47">
        <v>45829</v>
      </c>
      <c r="C189" s="66">
        <v>34242384</v>
      </c>
      <c r="D189" s="156">
        <v>84.3</v>
      </c>
      <c r="E189" s="5">
        <v>24.940999999999999</v>
      </c>
      <c r="F189" s="5">
        <v>25.03</v>
      </c>
      <c r="G189" s="5">
        <f>F189-E189</f>
        <v>8.9000000000002188E-2</v>
      </c>
      <c r="H189" s="16">
        <f t="shared" si="23"/>
        <v>7.6522200000001886E-2</v>
      </c>
      <c r="I189" s="16"/>
      <c r="J189" s="16"/>
      <c r="K189" s="19">
        <f t="shared" si="22"/>
        <v>7.6522200000001886E-2</v>
      </c>
      <c r="M189" s="13" t="s">
        <v>69</v>
      </c>
    </row>
    <row r="190" spans="1:15" x14ac:dyDescent="0.25">
      <c r="A190" s="1">
        <v>147</v>
      </c>
      <c r="B190" s="47">
        <v>45753</v>
      </c>
      <c r="C190" s="66">
        <v>34242301</v>
      </c>
      <c r="D190" s="156">
        <v>84.7</v>
      </c>
      <c r="E190" s="5">
        <v>37.375999999999998</v>
      </c>
      <c r="F190" s="5">
        <v>37.466000000000001</v>
      </c>
      <c r="G190" s="5">
        <f>F190-E190</f>
        <v>9.0000000000003411E-2</v>
      </c>
      <c r="H190" s="16">
        <f t="shared" si="23"/>
        <v>7.7382000000002935E-2</v>
      </c>
      <c r="I190" s="16"/>
      <c r="J190" s="16"/>
      <c r="K190" s="19">
        <f t="shared" si="22"/>
        <v>7.7382000000002935E-2</v>
      </c>
      <c r="M190" s="13" t="s">
        <v>69</v>
      </c>
    </row>
    <row r="191" spans="1:15" x14ac:dyDescent="0.25">
      <c r="A191" s="1">
        <v>148</v>
      </c>
      <c r="B191" s="47">
        <v>45899</v>
      </c>
      <c r="C191" s="66">
        <v>34242298</v>
      </c>
      <c r="D191" s="156">
        <v>56.4</v>
      </c>
      <c r="E191" s="5">
        <v>27.178000000000001</v>
      </c>
      <c r="F191" s="5">
        <v>27.303999999999998</v>
      </c>
      <c r="G191" s="5">
        <f>F191-E191</f>
        <v>0.12599999999999767</v>
      </c>
      <c r="H191" s="16">
        <f t="shared" si="23"/>
        <v>0.108334799999998</v>
      </c>
      <c r="I191" s="16"/>
      <c r="J191" s="16"/>
      <c r="K191" s="19">
        <f t="shared" si="22"/>
        <v>0.108334799999998</v>
      </c>
      <c r="M191" s="13" t="s">
        <v>69</v>
      </c>
    </row>
    <row r="192" spans="1:15" x14ac:dyDescent="0.25">
      <c r="A192" s="1">
        <v>149</v>
      </c>
      <c r="B192" s="33"/>
      <c r="C192" s="66">
        <v>34242302</v>
      </c>
      <c r="D192" s="156">
        <v>56.7</v>
      </c>
      <c r="E192" s="5">
        <v>28.105</v>
      </c>
      <c r="F192" s="5">
        <v>28.53</v>
      </c>
      <c r="G192" s="5"/>
      <c r="H192" s="16">
        <f t="shared" si="23"/>
        <v>0</v>
      </c>
      <c r="I192" s="16">
        <f>(((D192*0.015)*12)/7)/30*7</f>
        <v>0.3402</v>
      </c>
      <c r="J192" s="16">
        <f>D192/($E$25-$E$27)*$J$24</f>
        <v>-0.14479539370357206</v>
      </c>
      <c r="K192" s="19">
        <f t="shared" si="22"/>
        <v>0.19540460629642795</v>
      </c>
      <c r="M192" s="13" t="s">
        <v>71</v>
      </c>
      <c r="O192" s="12"/>
    </row>
    <row r="193" spans="1:16" x14ac:dyDescent="0.25">
      <c r="A193" s="1">
        <v>150</v>
      </c>
      <c r="B193" s="47">
        <v>45873</v>
      </c>
      <c r="C193" s="66">
        <v>34242299</v>
      </c>
      <c r="D193" s="156">
        <v>84.6</v>
      </c>
      <c r="E193" s="5">
        <v>21.268000000000001</v>
      </c>
      <c r="F193" s="5">
        <v>21.268000000000001</v>
      </c>
      <c r="G193" s="5">
        <f>F193-E193</f>
        <v>0</v>
      </c>
      <c r="H193" s="16">
        <f t="shared" si="23"/>
        <v>0</v>
      </c>
      <c r="I193" s="16"/>
      <c r="J193" s="16"/>
      <c r="K193" s="19">
        <f t="shared" si="22"/>
        <v>0</v>
      </c>
      <c r="M193" s="13" t="s">
        <v>69</v>
      </c>
    </row>
    <row r="194" spans="1:16" x14ac:dyDescent="0.25">
      <c r="A194" s="1">
        <v>151</v>
      </c>
      <c r="B194" s="47">
        <v>45937</v>
      </c>
      <c r="C194" s="66">
        <v>34242300</v>
      </c>
      <c r="D194" s="156">
        <v>84.6</v>
      </c>
      <c r="E194" s="5">
        <v>35.195</v>
      </c>
      <c r="F194" s="5">
        <v>35.195</v>
      </c>
      <c r="G194" s="5">
        <f>F194-E194</f>
        <v>0</v>
      </c>
      <c r="H194" s="16">
        <f t="shared" si="23"/>
        <v>0</v>
      </c>
      <c r="I194" s="16"/>
      <c r="J194" s="16"/>
      <c r="K194" s="19">
        <f t="shared" si="22"/>
        <v>0</v>
      </c>
      <c r="M194" s="13" t="s">
        <v>69</v>
      </c>
    </row>
    <row r="195" spans="1:16" x14ac:dyDescent="0.25">
      <c r="A195" s="1">
        <v>152</v>
      </c>
      <c r="B195" s="47">
        <v>45593</v>
      </c>
      <c r="C195" s="10" t="s">
        <v>94</v>
      </c>
      <c r="D195" s="156">
        <v>56.3</v>
      </c>
      <c r="E195" s="39">
        <v>0.54420000000000002</v>
      </c>
      <c r="F195" s="39">
        <v>0.54420000000000002</v>
      </c>
      <c r="G195" s="5"/>
      <c r="H195" s="16">
        <f>F195-E195</f>
        <v>0</v>
      </c>
      <c r="I195" s="16"/>
      <c r="J195" s="16"/>
      <c r="K195" s="19">
        <f>H195+I195+J195</f>
        <v>0</v>
      </c>
      <c r="M195" s="13" t="s">
        <v>69</v>
      </c>
    </row>
    <row r="196" spans="1:16" x14ac:dyDescent="0.25">
      <c r="A196" s="1">
        <v>153</v>
      </c>
      <c r="B196" s="47">
        <v>45594</v>
      </c>
      <c r="C196" s="10" t="s">
        <v>92</v>
      </c>
      <c r="D196" s="156">
        <v>56.9</v>
      </c>
      <c r="E196" s="39">
        <v>0.69750000000000001</v>
      </c>
      <c r="F196" s="39">
        <v>0.69750000000000001</v>
      </c>
      <c r="G196" s="5"/>
      <c r="H196" s="16">
        <f>F196-E196</f>
        <v>0</v>
      </c>
      <c r="I196" s="16"/>
      <c r="J196" s="16"/>
      <c r="K196" s="19">
        <f t="shared" si="22"/>
        <v>0</v>
      </c>
      <c r="M196" s="13" t="s">
        <v>69</v>
      </c>
    </row>
    <row r="197" spans="1:16" x14ac:dyDescent="0.25">
      <c r="A197" s="1">
        <v>154</v>
      </c>
      <c r="B197" s="47">
        <v>46000</v>
      </c>
      <c r="C197" s="66">
        <v>34242305</v>
      </c>
      <c r="D197" s="156">
        <v>85.7</v>
      </c>
      <c r="E197" s="5">
        <v>30.452000000000002</v>
      </c>
      <c r="F197" s="5">
        <v>30.547999999999998</v>
      </c>
      <c r="G197" s="5">
        <f>F197-E197</f>
        <v>9.5999999999996533E-2</v>
      </c>
      <c r="H197" s="16">
        <f t="shared" si="23"/>
        <v>8.2540799999997014E-2</v>
      </c>
      <c r="I197" s="16"/>
      <c r="J197" s="16"/>
      <c r="K197" s="19">
        <f t="shared" si="22"/>
        <v>8.2540799999997014E-2</v>
      </c>
      <c r="M197" s="13" t="s">
        <v>69</v>
      </c>
      <c r="O197" s="12"/>
      <c r="P197" s="12"/>
    </row>
    <row r="198" spans="1:16" x14ac:dyDescent="0.25">
      <c r="A198" s="1">
        <v>155</v>
      </c>
      <c r="B198" s="47">
        <v>46155</v>
      </c>
      <c r="C198" s="66" t="s">
        <v>148</v>
      </c>
      <c r="D198" s="156">
        <v>84.9</v>
      </c>
      <c r="E198" s="5">
        <v>0</v>
      </c>
      <c r="F198" s="5">
        <v>0</v>
      </c>
      <c r="G198" s="5"/>
      <c r="H198" s="16">
        <f>F198-E198</f>
        <v>0</v>
      </c>
      <c r="I198" s="16"/>
      <c r="J198" s="16"/>
      <c r="K198" s="19">
        <f t="shared" si="22"/>
        <v>0</v>
      </c>
      <c r="M198" s="13" t="s">
        <v>69</v>
      </c>
    </row>
    <row r="199" spans="1:16" x14ac:dyDescent="0.25">
      <c r="A199" s="1">
        <v>156</v>
      </c>
      <c r="B199" s="47">
        <v>46045</v>
      </c>
      <c r="C199" s="66">
        <v>34242320</v>
      </c>
      <c r="D199" s="156">
        <v>56.8</v>
      </c>
      <c r="E199" s="5">
        <v>42.902000000000001</v>
      </c>
      <c r="F199" s="5">
        <v>42.906999999999996</v>
      </c>
      <c r="G199" s="5">
        <f t="shared" ref="G199:G204" si="24">F199-E199</f>
        <v>4.9999999999954525E-3</v>
      </c>
      <c r="H199" s="16">
        <f t="shared" si="23"/>
        <v>4.2989999999960898E-3</v>
      </c>
      <c r="I199" s="16"/>
      <c r="J199" s="16"/>
      <c r="K199" s="19">
        <f t="shared" si="22"/>
        <v>4.2989999999960898E-3</v>
      </c>
      <c r="M199" s="13" t="s">
        <v>69</v>
      </c>
    </row>
    <row r="200" spans="1:16" x14ac:dyDescent="0.25">
      <c r="A200" s="1">
        <v>157</v>
      </c>
      <c r="B200" s="47">
        <v>45934</v>
      </c>
      <c r="C200" s="66">
        <v>34242321</v>
      </c>
      <c r="D200" s="156">
        <v>57.1</v>
      </c>
      <c r="E200" s="5">
        <v>41.704000000000001</v>
      </c>
      <c r="F200" s="5">
        <v>41.847000000000001</v>
      </c>
      <c r="G200" s="5">
        <f t="shared" si="24"/>
        <v>0.14300000000000068</v>
      </c>
      <c r="H200" s="16">
        <f t="shared" si="23"/>
        <v>0.12295140000000059</v>
      </c>
      <c r="I200" s="16"/>
      <c r="J200" s="16"/>
      <c r="K200" s="19">
        <f t="shared" si="22"/>
        <v>0.12295140000000059</v>
      </c>
      <c r="M200" s="13" t="s">
        <v>69</v>
      </c>
    </row>
    <row r="201" spans="1:16" x14ac:dyDescent="0.25">
      <c r="A201" s="1">
        <v>158</v>
      </c>
      <c r="B201" s="47">
        <v>46279</v>
      </c>
      <c r="C201" s="66">
        <v>34242304</v>
      </c>
      <c r="D201" s="156">
        <v>85.5</v>
      </c>
      <c r="E201" s="5">
        <v>49.564999999999998</v>
      </c>
      <c r="F201" s="5">
        <v>49.564999999999998</v>
      </c>
      <c r="G201" s="5">
        <f t="shared" si="24"/>
        <v>0</v>
      </c>
      <c r="H201" s="16">
        <f t="shared" si="23"/>
        <v>0</v>
      </c>
      <c r="I201" s="16"/>
      <c r="J201" s="16"/>
      <c r="K201" s="19">
        <f t="shared" si="22"/>
        <v>0</v>
      </c>
      <c r="M201" s="13" t="s">
        <v>69</v>
      </c>
      <c r="O201" s="12"/>
    </row>
    <row r="202" spans="1:16" x14ac:dyDescent="0.25">
      <c r="A202" s="1">
        <v>159</v>
      </c>
      <c r="B202" s="47">
        <v>45907</v>
      </c>
      <c r="C202" s="66">
        <v>34242308</v>
      </c>
      <c r="D202" s="156">
        <v>84.6</v>
      </c>
      <c r="E202" s="74">
        <v>46.273000000000003</v>
      </c>
      <c r="F202" s="74">
        <v>46.273000000000003</v>
      </c>
      <c r="G202" s="5">
        <f t="shared" si="24"/>
        <v>0</v>
      </c>
      <c r="H202" s="16">
        <f t="shared" si="23"/>
        <v>0</v>
      </c>
      <c r="I202" s="16"/>
      <c r="J202" s="16"/>
      <c r="K202" s="19">
        <f t="shared" si="22"/>
        <v>0</v>
      </c>
      <c r="M202" s="13" t="s">
        <v>69</v>
      </c>
    </row>
    <row r="203" spans="1:16" x14ac:dyDescent="0.25">
      <c r="A203" s="1">
        <v>160</v>
      </c>
      <c r="B203" s="47">
        <v>45753</v>
      </c>
      <c r="C203" s="66">
        <v>34242307</v>
      </c>
      <c r="D203" s="156">
        <v>56.3</v>
      </c>
      <c r="E203" s="5">
        <v>6.5410000000000004</v>
      </c>
      <c r="F203" s="5">
        <v>6.5410000000000004</v>
      </c>
      <c r="G203" s="5">
        <f t="shared" si="24"/>
        <v>0</v>
      </c>
      <c r="H203" s="16">
        <f t="shared" si="23"/>
        <v>0</v>
      </c>
      <c r="I203" s="16"/>
      <c r="J203" s="16"/>
      <c r="K203" s="19">
        <f t="shared" si="22"/>
        <v>0</v>
      </c>
      <c r="M203" s="13" t="s">
        <v>69</v>
      </c>
    </row>
    <row r="204" spans="1:16" x14ac:dyDescent="0.25">
      <c r="A204" s="1">
        <v>161</v>
      </c>
      <c r="B204" s="47">
        <v>45934</v>
      </c>
      <c r="C204" s="66">
        <v>34242312</v>
      </c>
      <c r="D204" s="156">
        <v>56.8</v>
      </c>
      <c r="E204" s="5">
        <v>10.661</v>
      </c>
      <c r="F204" s="5">
        <v>10.661</v>
      </c>
      <c r="G204" s="5">
        <f t="shared" si="24"/>
        <v>0</v>
      </c>
      <c r="H204" s="16">
        <f t="shared" si="23"/>
        <v>0</v>
      </c>
      <c r="I204" s="16"/>
      <c r="J204" s="16"/>
      <c r="K204" s="19">
        <f t="shared" si="22"/>
        <v>0</v>
      </c>
      <c r="M204" s="13" t="s">
        <v>69</v>
      </c>
    </row>
    <row r="205" spans="1:16" x14ac:dyDescent="0.25">
      <c r="A205" s="1">
        <v>162</v>
      </c>
      <c r="B205" s="33" t="s">
        <v>149</v>
      </c>
      <c r="C205" s="66">
        <v>34242309</v>
      </c>
      <c r="D205" s="156">
        <v>85.2</v>
      </c>
      <c r="E205" s="5">
        <v>30.791</v>
      </c>
      <c r="F205" s="5">
        <v>30.791</v>
      </c>
      <c r="G205" s="5"/>
      <c r="H205" s="16">
        <f t="shared" si="23"/>
        <v>0</v>
      </c>
      <c r="I205" s="16">
        <f>(((D205*0.015)*12)/7)/30*7</f>
        <v>0.51119999999999999</v>
      </c>
      <c r="J205" s="16">
        <f>D205/($E$25-$E$27)*$J$24</f>
        <v>-0.21757614715245746</v>
      </c>
      <c r="K205" s="19">
        <f t="shared" si="22"/>
        <v>0.29362385284754255</v>
      </c>
      <c r="M205" s="13" t="s">
        <v>71</v>
      </c>
      <c r="O205" s="12"/>
    </row>
    <row r="206" spans="1:16" x14ac:dyDescent="0.25">
      <c r="A206" s="1">
        <v>163</v>
      </c>
      <c r="B206" s="47">
        <v>45704</v>
      </c>
      <c r="C206" s="66">
        <v>34242188</v>
      </c>
      <c r="D206" s="156">
        <v>84.4</v>
      </c>
      <c r="E206" s="5">
        <v>5.327</v>
      </c>
      <c r="F206" s="5">
        <v>5.327</v>
      </c>
      <c r="G206" s="5">
        <f>F206-E206</f>
        <v>0</v>
      </c>
      <c r="H206" s="16">
        <f>G206*0.8598</f>
        <v>0</v>
      </c>
      <c r="I206" s="16"/>
      <c r="J206" s="16"/>
      <c r="K206" s="19">
        <f t="shared" si="22"/>
        <v>0</v>
      </c>
      <c r="M206" s="13" t="s">
        <v>69</v>
      </c>
    </row>
    <row r="207" spans="1:16" x14ac:dyDescent="0.25">
      <c r="A207" s="1">
        <v>164</v>
      </c>
      <c r="B207" s="47">
        <v>45748</v>
      </c>
      <c r="C207" s="66">
        <v>34242185</v>
      </c>
      <c r="D207" s="156">
        <v>55.9</v>
      </c>
      <c r="E207" s="5">
        <v>23.04</v>
      </c>
      <c r="F207" s="5">
        <v>23.081</v>
      </c>
      <c r="G207" s="5">
        <f>F207-E207</f>
        <v>4.1000000000000369E-2</v>
      </c>
      <c r="H207" s="16">
        <f>G207*0.8598</f>
        <v>3.5251800000000319E-2</v>
      </c>
      <c r="I207" s="16"/>
      <c r="J207" s="16"/>
      <c r="K207" s="19">
        <f>H207+I207+J207</f>
        <v>3.5251800000000319E-2</v>
      </c>
      <c r="M207" s="13" t="s">
        <v>69</v>
      </c>
    </row>
    <row r="208" spans="1:16" x14ac:dyDescent="0.25">
      <c r="A208" s="1">
        <v>165</v>
      </c>
      <c r="B208" s="47">
        <v>45748</v>
      </c>
      <c r="C208" s="66">
        <v>43441088</v>
      </c>
      <c r="D208" s="156">
        <v>56.7</v>
      </c>
      <c r="E208" s="5">
        <v>22.542999999999999</v>
      </c>
      <c r="F208" s="5">
        <v>22.675000000000001</v>
      </c>
      <c r="G208" s="5">
        <f>F208-E208</f>
        <v>0.13200000000000145</v>
      </c>
      <c r="H208" s="16">
        <f t="shared" si="23"/>
        <v>0.11349360000000125</v>
      </c>
      <c r="I208" s="16"/>
      <c r="J208" s="16"/>
      <c r="K208" s="19">
        <f t="shared" si="22"/>
        <v>0.11349360000000125</v>
      </c>
      <c r="M208" s="13" t="s">
        <v>69</v>
      </c>
    </row>
    <row r="209" spans="1:15" x14ac:dyDescent="0.25">
      <c r="A209" s="1">
        <v>166</v>
      </c>
      <c r="B209" s="47">
        <v>45795</v>
      </c>
      <c r="C209" s="66">
        <v>34242310</v>
      </c>
      <c r="D209" s="156">
        <v>85.2</v>
      </c>
      <c r="E209" s="5">
        <v>36.799999999999997</v>
      </c>
      <c r="F209" s="5">
        <v>36.799999999999997</v>
      </c>
      <c r="G209" s="5">
        <f>F209-E209</f>
        <v>0</v>
      </c>
      <c r="H209" s="16">
        <f>G209*0.8598</f>
        <v>0</v>
      </c>
      <c r="I209" s="16"/>
      <c r="J209" s="16"/>
      <c r="K209" s="19">
        <f t="shared" si="22"/>
        <v>0</v>
      </c>
      <c r="M209" s="13" t="s">
        <v>69</v>
      </c>
    </row>
    <row r="210" spans="1:15" x14ac:dyDescent="0.25">
      <c r="A210" s="1">
        <v>167</v>
      </c>
      <c r="B210" s="33"/>
      <c r="C210" s="66">
        <v>34242187</v>
      </c>
      <c r="D210" s="156">
        <v>84.9</v>
      </c>
      <c r="E210" s="5">
        <v>61.776000000000003</v>
      </c>
      <c r="F210" s="5">
        <v>62.015000000000001</v>
      </c>
      <c r="G210" s="5"/>
      <c r="H210" s="16">
        <f t="shared" si="23"/>
        <v>0</v>
      </c>
      <c r="I210" s="16">
        <f t="shared" ref="I210:I211" si="25">(((D210*0.015)*12)/7)/30*7</f>
        <v>0.50939999999999996</v>
      </c>
      <c r="J210" s="16">
        <f t="shared" ref="J210:J211" si="26">D210/($E$25-$E$27)*$J$24</f>
        <v>-0.21681003395825871</v>
      </c>
      <c r="K210" s="19">
        <f t="shared" si="22"/>
        <v>0.29258996604174126</v>
      </c>
      <c r="M210" s="13" t="s">
        <v>71</v>
      </c>
      <c r="O210" s="12"/>
    </row>
    <row r="211" spans="1:15" x14ac:dyDescent="0.25">
      <c r="A211" s="1">
        <v>168</v>
      </c>
      <c r="B211" s="33"/>
      <c r="C211" s="66">
        <v>34242189</v>
      </c>
      <c r="D211" s="156">
        <v>56.4</v>
      </c>
      <c r="E211" s="5">
        <v>5.01</v>
      </c>
      <c r="F211" s="5">
        <v>5.01</v>
      </c>
      <c r="G211" s="5"/>
      <c r="H211" s="16">
        <f t="shared" si="23"/>
        <v>0</v>
      </c>
      <c r="I211" s="16">
        <f t="shared" si="25"/>
        <v>0.33839999999999998</v>
      </c>
      <c r="J211" s="16">
        <f t="shared" si="26"/>
        <v>-0.14402928050937325</v>
      </c>
      <c r="K211" s="19">
        <f t="shared" si="22"/>
        <v>0.19437071949062673</v>
      </c>
      <c r="M211" s="13" t="s">
        <v>71</v>
      </c>
      <c r="O211" s="12"/>
    </row>
    <row r="212" spans="1:15" x14ac:dyDescent="0.25">
      <c r="A212" s="1">
        <v>169</v>
      </c>
      <c r="B212" s="47">
        <v>46000</v>
      </c>
      <c r="C212" s="66">
        <v>34242191</v>
      </c>
      <c r="D212" s="156">
        <v>57</v>
      </c>
      <c r="E212" s="5">
        <v>27.504000000000001</v>
      </c>
      <c r="F212" s="5">
        <v>27.56</v>
      </c>
      <c r="G212" s="5">
        <f>F212-E212</f>
        <v>5.5999999999997385E-2</v>
      </c>
      <c r="H212" s="16">
        <f t="shared" si="23"/>
        <v>4.814879999999775E-2</v>
      </c>
      <c r="I212" s="16"/>
      <c r="J212" s="16"/>
      <c r="K212" s="19">
        <f t="shared" si="22"/>
        <v>4.814879999999775E-2</v>
      </c>
      <c r="M212" s="13" t="s">
        <v>69</v>
      </c>
      <c r="O212" s="12"/>
    </row>
    <row r="213" spans="1:15" x14ac:dyDescent="0.25">
      <c r="A213" s="1">
        <v>170</v>
      </c>
      <c r="B213" s="47">
        <v>45608</v>
      </c>
      <c r="C213" s="66">
        <v>34242190</v>
      </c>
      <c r="D213" s="156">
        <v>85.3</v>
      </c>
      <c r="E213" s="5">
        <v>44.521000000000001</v>
      </c>
      <c r="F213" s="5">
        <v>44.521000000000001</v>
      </c>
      <c r="G213" s="5">
        <f>F213-E213</f>
        <v>0</v>
      </c>
      <c r="H213" s="16">
        <f t="shared" si="23"/>
        <v>0</v>
      </c>
      <c r="I213" s="16"/>
      <c r="J213" s="16"/>
      <c r="K213" s="19">
        <f t="shared" si="22"/>
        <v>0</v>
      </c>
      <c r="M213" s="13" t="s">
        <v>69</v>
      </c>
    </row>
    <row r="214" spans="1:15" x14ac:dyDescent="0.25">
      <c r="A214" s="1">
        <v>171</v>
      </c>
      <c r="B214" s="47">
        <v>45866</v>
      </c>
      <c r="C214" s="66">
        <v>34242184</v>
      </c>
      <c r="D214" s="156">
        <v>84.3</v>
      </c>
      <c r="E214" s="5">
        <v>7.931</v>
      </c>
      <c r="F214" s="5">
        <v>7.931</v>
      </c>
      <c r="G214" s="5">
        <f>F214-E214</f>
        <v>0</v>
      </c>
      <c r="H214" s="16">
        <f t="shared" si="23"/>
        <v>0</v>
      </c>
      <c r="I214" s="16"/>
      <c r="J214" s="16"/>
      <c r="K214" s="19">
        <f t="shared" si="22"/>
        <v>0</v>
      </c>
      <c r="M214" s="13" t="s">
        <v>69</v>
      </c>
    </row>
    <row r="215" spans="1:15" x14ac:dyDescent="0.25">
      <c r="A215" s="1">
        <v>172</v>
      </c>
      <c r="B215" s="47">
        <v>45553</v>
      </c>
      <c r="C215" s="10" t="s">
        <v>88</v>
      </c>
      <c r="D215" s="156">
        <v>56.4</v>
      </c>
      <c r="E215" s="39">
        <v>1.4670000000000001</v>
      </c>
      <c r="F215" s="39">
        <v>1.4670000000000001</v>
      </c>
      <c r="G215" s="5"/>
      <c r="H215" s="16">
        <f>F215-E215</f>
        <v>0</v>
      </c>
      <c r="I215" s="16"/>
      <c r="J215" s="16"/>
      <c r="K215" s="19">
        <f t="shared" si="22"/>
        <v>0</v>
      </c>
      <c r="M215" s="13" t="s">
        <v>69</v>
      </c>
    </row>
    <row r="216" spans="1:15" x14ac:dyDescent="0.25">
      <c r="A216" s="1">
        <v>173</v>
      </c>
      <c r="B216" s="33"/>
      <c r="C216" s="66">
        <v>34242186</v>
      </c>
      <c r="D216" s="156">
        <v>56.9</v>
      </c>
      <c r="E216" s="5">
        <v>31.58</v>
      </c>
      <c r="F216" s="5">
        <v>31.58</v>
      </c>
      <c r="G216" s="5"/>
      <c r="H216" s="16">
        <f t="shared" ref="H216:H238" si="27">G216*0.8598</f>
        <v>0</v>
      </c>
      <c r="I216" s="16">
        <f>(((D216*0.015)*12)/7)/30*7</f>
        <v>0.34139999999999998</v>
      </c>
      <c r="J216" s="16">
        <f>D216/($E$25-$E$27)*$J$24</f>
        <v>-0.14530613583303789</v>
      </c>
      <c r="K216" s="19">
        <f t="shared" si="22"/>
        <v>0.19609386416696209</v>
      </c>
      <c r="M216" s="13" t="s">
        <v>71</v>
      </c>
    </row>
    <row r="217" spans="1:15" x14ac:dyDescent="0.25">
      <c r="A217" s="1">
        <v>174</v>
      </c>
      <c r="B217" s="47">
        <v>45671</v>
      </c>
      <c r="C217" s="66">
        <v>34242183</v>
      </c>
      <c r="D217" s="156">
        <v>85.9</v>
      </c>
      <c r="E217" s="5">
        <v>36.847000000000001</v>
      </c>
      <c r="F217" s="5">
        <v>36.847000000000001</v>
      </c>
      <c r="G217" s="5">
        <f t="shared" ref="G217:G222" si="28">F217-E217</f>
        <v>0</v>
      </c>
      <c r="H217" s="16">
        <f t="shared" si="27"/>
        <v>0</v>
      </c>
      <c r="I217" s="16"/>
      <c r="J217" s="16"/>
      <c r="K217" s="19">
        <f t="shared" si="22"/>
        <v>0</v>
      </c>
      <c r="M217" s="13" t="s">
        <v>69</v>
      </c>
    </row>
    <row r="218" spans="1:15" x14ac:dyDescent="0.25">
      <c r="A218" s="1">
        <v>175</v>
      </c>
      <c r="B218" s="47">
        <v>45940</v>
      </c>
      <c r="C218" s="66">
        <v>34242196</v>
      </c>
      <c r="D218" s="156">
        <v>84.5</v>
      </c>
      <c r="E218" s="5">
        <v>36.627000000000002</v>
      </c>
      <c r="F218" s="5">
        <v>36.627000000000002</v>
      </c>
      <c r="G218" s="5">
        <f t="shared" si="28"/>
        <v>0</v>
      </c>
      <c r="H218" s="16">
        <f t="shared" si="27"/>
        <v>0</v>
      </c>
      <c r="I218" s="16"/>
      <c r="J218" s="16"/>
      <c r="K218" s="19">
        <f t="shared" si="22"/>
        <v>0</v>
      </c>
      <c r="M218" s="13" t="s">
        <v>69</v>
      </c>
    </row>
    <row r="219" spans="1:15" x14ac:dyDescent="0.25">
      <c r="A219" s="1">
        <v>176</v>
      </c>
      <c r="B219" s="47">
        <v>45748</v>
      </c>
      <c r="C219" s="66">
        <v>34242199</v>
      </c>
      <c r="D219" s="156">
        <v>56.5</v>
      </c>
      <c r="E219" s="5">
        <v>19.855</v>
      </c>
      <c r="F219" s="5">
        <v>19.855</v>
      </c>
      <c r="G219" s="5">
        <f t="shared" si="28"/>
        <v>0</v>
      </c>
      <c r="H219" s="16">
        <f t="shared" si="27"/>
        <v>0</v>
      </c>
      <c r="I219" s="16"/>
      <c r="J219" s="16"/>
      <c r="K219" s="19">
        <f t="shared" si="22"/>
        <v>0</v>
      </c>
      <c r="M219" s="13" t="s">
        <v>69</v>
      </c>
    </row>
    <row r="220" spans="1:15" x14ac:dyDescent="0.25">
      <c r="A220" s="1">
        <v>177</v>
      </c>
      <c r="B220" s="47">
        <v>45803</v>
      </c>
      <c r="C220" s="66">
        <v>34242192</v>
      </c>
      <c r="D220" s="156">
        <v>57</v>
      </c>
      <c r="E220" s="5">
        <v>17.718</v>
      </c>
      <c r="F220" s="5">
        <v>17.718</v>
      </c>
      <c r="G220" s="5">
        <f t="shared" si="28"/>
        <v>0</v>
      </c>
      <c r="H220" s="16">
        <f t="shared" si="27"/>
        <v>0</v>
      </c>
      <c r="I220" s="16"/>
      <c r="J220" s="16"/>
      <c r="K220" s="19">
        <f t="shared" si="22"/>
        <v>0</v>
      </c>
      <c r="M220" s="13" t="s">
        <v>69</v>
      </c>
    </row>
    <row r="221" spans="1:15" x14ac:dyDescent="0.25">
      <c r="A221" s="1">
        <v>178</v>
      </c>
      <c r="B221" s="47">
        <v>46272</v>
      </c>
      <c r="C221" s="66">
        <v>34242198</v>
      </c>
      <c r="D221" s="156">
        <v>85.8</v>
      </c>
      <c r="E221" s="5">
        <v>37.371000000000002</v>
      </c>
      <c r="F221" s="5">
        <v>37.371000000000002</v>
      </c>
      <c r="G221" s="5">
        <f t="shared" si="28"/>
        <v>0</v>
      </c>
      <c r="H221" s="16">
        <f t="shared" si="27"/>
        <v>0</v>
      </c>
      <c r="I221" s="16"/>
      <c r="J221" s="16"/>
      <c r="K221" s="19">
        <f t="shared" si="22"/>
        <v>0</v>
      </c>
      <c r="M221" s="13" t="s">
        <v>69</v>
      </c>
    </row>
    <row r="222" spans="1:15" x14ac:dyDescent="0.25">
      <c r="A222" s="1">
        <v>179</v>
      </c>
      <c r="B222" s="47">
        <v>45802</v>
      </c>
      <c r="C222" s="66">
        <v>34242200</v>
      </c>
      <c r="D222" s="156">
        <v>84.7</v>
      </c>
      <c r="E222" s="5">
        <v>67.864999999999995</v>
      </c>
      <c r="F222" s="5">
        <v>67.864999999999995</v>
      </c>
      <c r="G222" s="5">
        <f t="shared" si="28"/>
        <v>0</v>
      </c>
      <c r="H222" s="16">
        <f t="shared" si="27"/>
        <v>0</v>
      </c>
      <c r="I222" s="16"/>
      <c r="J222" s="16"/>
      <c r="K222" s="19">
        <f t="shared" si="22"/>
        <v>0</v>
      </c>
      <c r="M222" s="13" t="s">
        <v>69</v>
      </c>
    </row>
    <row r="223" spans="1:15" x14ac:dyDescent="0.25">
      <c r="A223" s="1">
        <v>180</v>
      </c>
      <c r="B223" s="33"/>
      <c r="C223" s="66">
        <v>34242197</v>
      </c>
      <c r="D223" s="156">
        <v>55.8</v>
      </c>
      <c r="E223" s="5">
        <v>29.417999999999999</v>
      </c>
      <c r="F223" s="5">
        <v>29.472000000000001</v>
      </c>
      <c r="G223" s="5"/>
      <c r="H223" s="16">
        <f t="shared" si="27"/>
        <v>0</v>
      </c>
      <c r="I223" s="16">
        <f t="shared" ref="I223:I224" si="29">(((D223*0.015)*12)/7)/30*7</f>
        <v>0.33479999999999999</v>
      </c>
      <c r="J223" s="16">
        <f>D223/($E$25-$E$27)*$J$24</f>
        <v>-0.14249705412097566</v>
      </c>
      <c r="K223" s="19">
        <f t="shared" si="22"/>
        <v>0.19230294587902433</v>
      </c>
      <c r="M223" s="13" t="s">
        <v>71</v>
      </c>
      <c r="O223" s="12"/>
    </row>
    <row r="224" spans="1:15" x14ac:dyDescent="0.25">
      <c r="A224" s="1">
        <v>181</v>
      </c>
      <c r="B224" s="33"/>
      <c r="C224" s="66">
        <v>34242193</v>
      </c>
      <c r="D224" s="156">
        <v>57</v>
      </c>
      <c r="E224" s="5">
        <v>15.263</v>
      </c>
      <c r="F224" s="5">
        <v>15.304</v>
      </c>
      <c r="G224" s="5"/>
      <c r="H224" s="16">
        <f t="shared" si="27"/>
        <v>0</v>
      </c>
      <c r="I224" s="16">
        <f t="shared" si="29"/>
        <v>0.34199999999999997</v>
      </c>
      <c r="J224" s="16">
        <f>D224/($E$25-$E$27)*$J$24</f>
        <v>-0.14556150689777084</v>
      </c>
      <c r="K224" s="19">
        <f t="shared" si="22"/>
        <v>0.19643849310222913</v>
      </c>
      <c r="M224" s="13" t="s">
        <v>71</v>
      </c>
      <c r="O224" s="12"/>
    </row>
    <row r="225" spans="1:15" ht="15.75" thickBot="1" x14ac:dyDescent="0.3">
      <c r="A225" s="15">
        <v>182</v>
      </c>
      <c r="B225" s="35" t="s">
        <v>59</v>
      </c>
      <c r="C225" s="68">
        <v>34242194</v>
      </c>
      <c r="D225" s="90">
        <v>85.8</v>
      </c>
      <c r="E225" s="8">
        <v>47.58</v>
      </c>
      <c r="F225" s="8">
        <v>47.764000000000003</v>
      </c>
      <c r="G225" s="28">
        <f>F225-E225</f>
        <v>0.1840000000000046</v>
      </c>
      <c r="H225" s="91">
        <f>G225*0.8598</f>
        <v>0.15820320000000396</v>
      </c>
      <c r="I225" s="16"/>
      <c r="J225" s="16"/>
      <c r="K225" s="19">
        <f t="shared" si="22"/>
        <v>0.15820320000000396</v>
      </c>
      <c r="M225" s="13" t="s">
        <v>69</v>
      </c>
      <c r="O225" s="12"/>
    </row>
    <row r="226" spans="1:15" ht="15.75" thickBot="1" x14ac:dyDescent="0.3">
      <c r="A226" s="219" t="s">
        <v>78</v>
      </c>
      <c r="B226" s="220"/>
      <c r="C226" s="220"/>
      <c r="D226" s="92">
        <f>SUM(D174:D225)</f>
        <v>3672.6000000000013</v>
      </c>
      <c r="E226" s="221" t="s">
        <v>79</v>
      </c>
      <c r="F226" s="221"/>
      <c r="G226" s="221"/>
      <c r="H226" s="64">
        <f>SUM(H174:H225)</f>
        <v>2.0524679999999966</v>
      </c>
      <c r="I226" s="64">
        <f>SUM(I174:I225)</f>
        <v>3.3923999999999999</v>
      </c>
      <c r="J226" s="64">
        <f>SUM(J174:J225)</f>
        <v>-1.4438679999999935</v>
      </c>
      <c r="K226" s="93">
        <f>SUM(K174:K225)</f>
        <v>4.001000000000003</v>
      </c>
      <c r="M226" s="13"/>
    </row>
    <row r="227" spans="1:15" x14ac:dyDescent="0.25">
      <c r="A227" s="9">
        <v>183</v>
      </c>
      <c r="B227" s="190">
        <v>46272</v>
      </c>
      <c r="C227" s="69">
        <v>34242339</v>
      </c>
      <c r="D227" s="155">
        <v>117.2</v>
      </c>
      <c r="E227" s="6">
        <v>64.091999999999999</v>
      </c>
      <c r="F227" s="6">
        <v>64.091999999999999</v>
      </c>
      <c r="G227" s="5">
        <f>F227-E227</f>
        <v>0</v>
      </c>
      <c r="H227" s="19">
        <f t="shared" si="27"/>
        <v>0</v>
      </c>
      <c r="I227" s="16"/>
      <c r="J227" s="16"/>
      <c r="K227" s="19">
        <f>H227+I227+J227</f>
        <v>0</v>
      </c>
      <c r="M227" s="13" t="s">
        <v>69</v>
      </c>
    </row>
    <row r="228" spans="1:15" x14ac:dyDescent="0.25">
      <c r="A228" s="1">
        <v>184</v>
      </c>
      <c r="B228" s="34" t="s">
        <v>150</v>
      </c>
      <c r="C228" s="66">
        <v>34242341</v>
      </c>
      <c r="D228" s="156">
        <v>58.1</v>
      </c>
      <c r="E228" s="5">
        <v>37.777999999999999</v>
      </c>
      <c r="F228" s="5">
        <v>37.777999999999999</v>
      </c>
      <c r="G228" s="5"/>
      <c r="H228" s="16">
        <f t="shared" si="27"/>
        <v>0</v>
      </c>
      <c r="I228" s="16">
        <f t="shared" ref="I228:I229" si="30">(((D228*0.015)*12)/7)/30*7</f>
        <v>0.34859999999999991</v>
      </c>
      <c r="J228" s="16">
        <f>D228/($E$32-$E$34)*$J$31</f>
        <v>-0.30568887385709004</v>
      </c>
      <c r="K228" s="19">
        <f t="shared" ref="K228:K291" si="31">H228+I228+J228</f>
        <v>4.2911126142909872E-2</v>
      </c>
      <c r="M228" s="13" t="s">
        <v>71</v>
      </c>
    </row>
    <row r="229" spans="1:15" x14ac:dyDescent="0.25">
      <c r="A229" s="1">
        <v>185</v>
      </c>
      <c r="B229" s="33"/>
      <c r="C229" s="66">
        <v>34242160</v>
      </c>
      <c r="D229" s="156">
        <v>58.4</v>
      </c>
      <c r="E229" s="5">
        <v>14.632</v>
      </c>
      <c r="F229" s="5">
        <v>14.632</v>
      </c>
      <c r="G229" s="5"/>
      <c r="H229" s="16">
        <f t="shared" si="27"/>
        <v>0</v>
      </c>
      <c r="I229" s="16">
        <f t="shared" si="30"/>
        <v>0.35040000000000004</v>
      </c>
      <c r="J229" s="16">
        <f t="shared" ref="J229" si="32">D229/($E$32-$E$34)*$J$31</f>
        <v>-0.30726730177717831</v>
      </c>
      <c r="K229" s="19">
        <f t="shared" si="31"/>
        <v>4.313269822282173E-2</v>
      </c>
      <c r="M229" s="13" t="s">
        <v>71</v>
      </c>
    </row>
    <row r="230" spans="1:15" x14ac:dyDescent="0.25">
      <c r="A230" s="1">
        <v>186</v>
      </c>
      <c r="B230" s="47">
        <v>46283</v>
      </c>
      <c r="C230" s="66">
        <v>43441091</v>
      </c>
      <c r="D230" s="156">
        <v>46.7</v>
      </c>
      <c r="E230" s="5">
        <v>37.762999999999998</v>
      </c>
      <c r="F230" s="5">
        <v>37.801000000000002</v>
      </c>
      <c r="G230" s="5">
        <f>F230-E230</f>
        <v>3.8000000000003809E-2</v>
      </c>
      <c r="H230" s="16">
        <f>G230*0.8598</f>
        <v>3.2672400000003272E-2</v>
      </c>
      <c r="I230" s="16"/>
      <c r="J230" s="16"/>
      <c r="K230" s="19">
        <f t="shared" si="31"/>
        <v>3.2672400000003272E-2</v>
      </c>
      <c r="M230" s="13" t="s">
        <v>69</v>
      </c>
    </row>
    <row r="231" spans="1:15" x14ac:dyDescent="0.25">
      <c r="A231" s="1">
        <v>187</v>
      </c>
      <c r="B231" s="47">
        <v>45654</v>
      </c>
      <c r="C231" s="66">
        <v>34242342</v>
      </c>
      <c r="D231" s="156">
        <v>77.400000000000006</v>
      </c>
      <c r="E231" s="5">
        <v>51.524000000000001</v>
      </c>
      <c r="F231" s="5">
        <v>51.593000000000004</v>
      </c>
      <c r="G231" s="5">
        <f>F231-E231</f>
        <v>6.9000000000002615E-2</v>
      </c>
      <c r="H231" s="16">
        <f>G231*0.8598</f>
        <v>5.9326200000002251E-2</v>
      </c>
      <c r="I231" s="16"/>
      <c r="J231" s="16"/>
      <c r="K231" s="19">
        <f t="shared" si="31"/>
        <v>5.9326200000002251E-2</v>
      </c>
      <c r="M231" s="13" t="s">
        <v>69</v>
      </c>
    </row>
    <row r="232" spans="1:15" x14ac:dyDescent="0.25">
      <c r="A232" s="1">
        <v>188</v>
      </c>
      <c r="B232" s="34"/>
      <c r="C232" s="66">
        <v>34242334</v>
      </c>
      <c r="D232" s="156">
        <v>117.2</v>
      </c>
      <c r="E232" s="5">
        <v>47.185000000000002</v>
      </c>
      <c r="F232" s="5">
        <v>47.326999999999998</v>
      </c>
      <c r="G232" s="5"/>
      <c r="H232" s="16">
        <f t="shared" si="27"/>
        <v>0</v>
      </c>
      <c r="I232" s="16">
        <f>(((D232*0.015)*12)/7)/30*7</f>
        <v>0.70320000000000005</v>
      </c>
      <c r="J232" s="16">
        <f>D232/($E$32-$E$34)*$J$31</f>
        <v>-0.61663917411447422</v>
      </c>
      <c r="K232" s="19">
        <f t="shared" si="31"/>
        <v>8.6560825885525827E-2</v>
      </c>
      <c r="M232" s="13" t="s">
        <v>71</v>
      </c>
    </row>
    <row r="233" spans="1:15" x14ac:dyDescent="0.25">
      <c r="A233" s="1">
        <v>189</v>
      </c>
      <c r="B233" s="47">
        <v>45566</v>
      </c>
      <c r="C233" s="49" t="s">
        <v>89</v>
      </c>
      <c r="D233" s="156">
        <v>58.7</v>
      </c>
      <c r="E233" s="39">
        <v>7.3536999999999999</v>
      </c>
      <c r="F233" s="39">
        <v>7.4169999999999998</v>
      </c>
      <c r="G233" s="5"/>
      <c r="H233" s="16">
        <f>F233-E233</f>
        <v>6.3299999999999912E-2</v>
      </c>
      <c r="I233" s="16"/>
      <c r="J233" s="16"/>
      <c r="K233" s="19">
        <f t="shared" si="31"/>
        <v>6.3299999999999912E-2</v>
      </c>
      <c r="M233" s="13" t="s">
        <v>69</v>
      </c>
    </row>
    <row r="234" spans="1:15" x14ac:dyDescent="0.25">
      <c r="A234" s="1">
        <v>190</v>
      </c>
      <c r="B234" s="48">
        <v>45704</v>
      </c>
      <c r="C234" s="66">
        <v>34242340</v>
      </c>
      <c r="D234" s="156">
        <v>58.2</v>
      </c>
      <c r="E234" s="5">
        <v>39.511000000000003</v>
      </c>
      <c r="F234" s="5">
        <v>39.511000000000003</v>
      </c>
      <c r="G234" s="5">
        <f>F234-E234</f>
        <v>0</v>
      </c>
      <c r="H234" s="16">
        <f t="shared" si="27"/>
        <v>0</v>
      </c>
      <c r="I234" s="16"/>
      <c r="J234" s="16"/>
      <c r="K234" s="19">
        <f t="shared" si="31"/>
        <v>0</v>
      </c>
      <c r="M234" s="13" t="s">
        <v>69</v>
      </c>
    </row>
    <row r="235" spans="1:15" x14ac:dyDescent="0.25">
      <c r="A235" s="1">
        <v>191</v>
      </c>
      <c r="B235" s="47">
        <v>45668</v>
      </c>
      <c r="C235" s="10" t="s">
        <v>93</v>
      </c>
      <c r="D235" s="156">
        <v>46.6</v>
      </c>
      <c r="E235" s="5">
        <v>0.24199999999999999</v>
      </c>
      <c r="F235" s="5">
        <v>0.24199999999999999</v>
      </c>
      <c r="G235" s="39"/>
      <c r="H235" s="16">
        <f>F235-E235</f>
        <v>0</v>
      </c>
      <c r="I235" s="16"/>
      <c r="J235" s="16"/>
      <c r="K235" s="19">
        <f>H235+I235+J235</f>
        <v>0</v>
      </c>
      <c r="M235" s="13" t="s">
        <v>69</v>
      </c>
    </row>
    <row r="236" spans="1:15" x14ac:dyDescent="0.25">
      <c r="A236" s="1">
        <v>192</v>
      </c>
      <c r="B236" s="33" t="s">
        <v>59</v>
      </c>
      <c r="C236" s="10" t="s">
        <v>80</v>
      </c>
      <c r="D236" s="156">
        <v>77.3</v>
      </c>
      <c r="E236" s="39">
        <v>3.097</v>
      </c>
      <c r="F236" s="39">
        <v>3.097</v>
      </c>
      <c r="G236" s="5"/>
      <c r="H236" s="16">
        <f>F236-E236</f>
        <v>0</v>
      </c>
      <c r="I236" s="16"/>
      <c r="J236" s="16"/>
      <c r="K236" s="19">
        <f>H236+I236+J236</f>
        <v>0</v>
      </c>
      <c r="M236" s="13" t="s">
        <v>69</v>
      </c>
    </row>
    <row r="237" spans="1:15" x14ac:dyDescent="0.25">
      <c r="A237" s="1">
        <v>193</v>
      </c>
      <c r="B237" s="47">
        <v>45741</v>
      </c>
      <c r="C237" s="66">
        <v>34242324</v>
      </c>
      <c r="D237" s="156">
        <v>116.7</v>
      </c>
      <c r="E237" s="5">
        <v>11.222</v>
      </c>
      <c r="F237" s="5">
        <v>11.222</v>
      </c>
      <c r="G237" s="5">
        <f>F237-E237</f>
        <v>0</v>
      </c>
      <c r="H237" s="16">
        <f t="shared" si="27"/>
        <v>0</v>
      </c>
      <c r="I237" s="16"/>
      <c r="J237" s="16"/>
      <c r="K237" s="19">
        <f t="shared" si="31"/>
        <v>0</v>
      </c>
      <c r="M237" s="13" t="s">
        <v>69</v>
      </c>
    </row>
    <row r="238" spans="1:15" x14ac:dyDescent="0.25">
      <c r="A238" s="42">
        <v>194</v>
      </c>
      <c r="B238" s="34"/>
      <c r="C238" s="66">
        <v>34242331</v>
      </c>
      <c r="D238" s="156">
        <v>58</v>
      </c>
      <c r="E238" s="5">
        <v>4.4710000000000001</v>
      </c>
      <c r="F238" s="5">
        <v>4.4710000000000001</v>
      </c>
      <c r="G238" s="5"/>
      <c r="H238" s="16">
        <f t="shared" si="27"/>
        <v>0</v>
      </c>
      <c r="I238" s="16">
        <f>(((D238*0.015)*12)/7)/30*7</f>
        <v>0.34799999999999998</v>
      </c>
      <c r="J238" s="16">
        <f>D238/($E$32-$E$34)*$J$31</f>
        <v>-0.30516273121706061</v>
      </c>
      <c r="K238" s="19">
        <f t="shared" si="31"/>
        <v>4.2837268782939364E-2</v>
      </c>
      <c r="M238" s="13" t="s">
        <v>71</v>
      </c>
    </row>
    <row r="239" spans="1:15" x14ac:dyDescent="0.25">
      <c r="A239" s="1">
        <v>195</v>
      </c>
      <c r="B239" s="47">
        <v>45553</v>
      </c>
      <c r="C239" s="10" t="s">
        <v>98</v>
      </c>
      <c r="D239" s="156">
        <v>58.1</v>
      </c>
      <c r="E239" s="39">
        <v>2.9790000000000001</v>
      </c>
      <c r="F239" s="39">
        <v>2.9790000000000001</v>
      </c>
      <c r="G239" s="5"/>
      <c r="H239" s="16">
        <f>F239-E239</f>
        <v>0</v>
      </c>
      <c r="I239" s="16"/>
      <c r="J239" s="16"/>
      <c r="K239" s="19">
        <f>H239+I239+J239</f>
        <v>0</v>
      </c>
      <c r="M239" s="13" t="s">
        <v>69</v>
      </c>
    </row>
    <row r="240" spans="1:15" x14ac:dyDescent="0.25">
      <c r="A240" s="1">
        <v>196</v>
      </c>
      <c r="B240" s="47">
        <v>45553</v>
      </c>
      <c r="C240" s="10" t="s">
        <v>99</v>
      </c>
      <c r="D240" s="156">
        <v>46.7</v>
      </c>
      <c r="E240" s="39">
        <v>1.776</v>
      </c>
      <c r="F240" s="39">
        <v>1.776</v>
      </c>
      <c r="G240" s="5"/>
      <c r="H240" s="16">
        <f>F240-E240</f>
        <v>0</v>
      </c>
      <c r="I240" s="16"/>
      <c r="J240" s="16"/>
      <c r="K240" s="19">
        <f t="shared" si="31"/>
        <v>0</v>
      </c>
      <c r="L240" s="24"/>
      <c r="M240" s="13" t="s">
        <v>69</v>
      </c>
    </row>
    <row r="241" spans="1:13" x14ac:dyDescent="0.25">
      <c r="A241" s="9">
        <v>197</v>
      </c>
      <c r="B241" s="47">
        <v>45955</v>
      </c>
      <c r="C241" s="66" t="s">
        <v>114</v>
      </c>
      <c r="D241" s="156">
        <v>77.5</v>
      </c>
      <c r="E241" s="39">
        <v>6.6780999999999997</v>
      </c>
      <c r="F241" s="39">
        <v>6.6780999999999997</v>
      </c>
      <c r="G241" s="5"/>
      <c r="H241" s="16">
        <f>F241-E241</f>
        <v>0</v>
      </c>
      <c r="I241" s="16"/>
      <c r="J241" s="16"/>
      <c r="K241" s="19">
        <f t="shared" si="31"/>
        <v>0</v>
      </c>
      <c r="L241" s="24"/>
      <c r="M241" s="13" t="s">
        <v>69</v>
      </c>
    </row>
    <row r="242" spans="1:13" x14ac:dyDescent="0.25">
      <c r="A242" s="1">
        <v>198</v>
      </c>
      <c r="B242" s="47">
        <v>45900</v>
      </c>
      <c r="C242" s="66">
        <v>34242333</v>
      </c>
      <c r="D242" s="156">
        <v>116.5</v>
      </c>
      <c r="E242" s="5">
        <v>39.225000000000001</v>
      </c>
      <c r="F242" s="5">
        <v>39.390999999999998</v>
      </c>
      <c r="G242" s="5">
        <f>F242-E242</f>
        <v>0.16599999999999682</v>
      </c>
      <c r="H242" s="16">
        <f t="shared" ref="H242:H263" si="33">G242*0.8598</f>
        <v>0.14272679999999727</v>
      </c>
      <c r="I242" s="16"/>
      <c r="J242" s="16"/>
      <c r="K242" s="19">
        <f t="shared" si="31"/>
        <v>0.14272679999999727</v>
      </c>
      <c r="L242" s="24"/>
      <c r="M242" s="13" t="s">
        <v>69</v>
      </c>
    </row>
    <row r="243" spans="1:13" x14ac:dyDescent="0.25">
      <c r="A243" s="1">
        <v>199</v>
      </c>
      <c r="B243" s="47">
        <v>46276</v>
      </c>
      <c r="C243" s="66">
        <v>34242330</v>
      </c>
      <c r="D243" s="156">
        <v>58.8</v>
      </c>
      <c r="E243" s="5">
        <v>46.15</v>
      </c>
      <c r="F243" s="5">
        <v>46.15</v>
      </c>
      <c r="G243" s="5">
        <f>F243-E243</f>
        <v>0</v>
      </c>
      <c r="H243" s="16">
        <f t="shared" si="33"/>
        <v>0</v>
      </c>
      <c r="I243" s="16"/>
      <c r="J243" s="16"/>
      <c r="K243" s="19">
        <f t="shared" si="31"/>
        <v>0</v>
      </c>
      <c r="M243" s="13" t="s">
        <v>69</v>
      </c>
    </row>
    <row r="244" spans="1:13" x14ac:dyDescent="0.25">
      <c r="A244" s="1">
        <v>200</v>
      </c>
      <c r="B244" s="47">
        <v>45873</v>
      </c>
      <c r="C244" s="66">
        <v>34242329</v>
      </c>
      <c r="D244" s="156">
        <v>58.6</v>
      </c>
      <c r="E244" s="5">
        <v>7.6139999999999999</v>
      </c>
      <c r="F244" s="5">
        <v>7.6820000000000004</v>
      </c>
      <c r="G244" s="5">
        <f>F244-E244</f>
        <v>6.8000000000000504E-2</v>
      </c>
      <c r="H244" s="16">
        <f t="shared" si="33"/>
        <v>5.8466400000000432E-2</v>
      </c>
      <c r="I244" s="16"/>
      <c r="J244" s="16"/>
      <c r="K244" s="19">
        <f t="shared" si="31"/>
        <v>5.8466400000000432E-2</v>
      </c>
      <c r="M244" s="13" t="s">
        <v>69</v>
      </c>
    </row>
    <row r="245" spans="1:13" x14ac:dyDescent="0.25">
      <c r="A245" s="1">
        <v>201</v>
      </c>
      <c r="B245" s="47">
        <v>45650</v>
      </c>
      <c r="C245" s="66">
        <v>34242326</v>
      </c>
      <c r="D245" s="156">
        <v>46.4</v>
      </c>
      <c r="E245" s="5">
        <v>35.744999999999997</v>
      </c>
      <c r="F245" s="5">
        <v>35.793999999999997</v>
      </c>
      <c r="G245" s="5">
        <f>F245-E245</f>
        <v>4.8999999999999488E-2</v>
      </c>
      <c r="H245" s="16">
        <f>G245*0.8598</f>
        <v>4.2130199999999562E-2</v>
      </c>
      <c r="I245" s="16"/>
      <c r="J245" s="16"/>
      <c r="K245" s="19">
        <f t="shared" si="31"/>
        <v>4.2130199999999562E-2</v>
      </c>
      <c r="M245" s="13" t="s">
        <v>69</v>
      </c>
    </row>
    <row r="246" spans="1:13" x14ac:dyDescent="0.25">
      <c r="A246" s="1">
        <v>202</v>
      </c>
      <c r="B246" s="33" t="s">
        <v>59</v>
      </c>
      <c r="C246" s="191" t="s">
        <v>60</v>
      </c>
      <c r="D246" s="156">
        <v>77.5</v>
      </c>
      <c r="E246" s="39">
        <v>16.027999999999999</v>
      </c>
      <c r="F246" s="39">
        <v>16.131</v>
      </c>
      <c r="G246" s="39"/>
      <c r="H246" s="16">
        <f>F246-E246</f>
        <v>0.10300000000000153</v>
      </c>
      <c r="I246" s="16"/>
      <c r="J246" s="16"/>
      <c r="K246" s="19">
        <f>H246+I246+J246</f>
        <v>0.10300000000000153</v>
      </c>
      <c r="M246" s="13" t="s">
        <v>69</v>
      </c>
    </row>
    <row r="247" spans="1:13" x14ac:dyDescent="0.25">
      <c r="A247" s="1">
        <v>203</v>
      </c>
      <c r="B247" s="33"/>
      <c r="C247" s="66">
        <v>43441405</v>
      </c>
      <c r="D247" s="156">
        <v>117.4</v>
      </c>
      <c r="E247" s="5">
        <v>61.95</v>
      </c>
      <c r="F247" s="5">
        <v>62.051000000000002</v>
      </c>
      <c r="G247" s="5"/>
      <c r="H247" s="16">
        <f t="shared" si="33"/>
        <v>0</v>
      </c>
      <c r="I247" s="16">
        <f t="shared" ref="I247:I251" si="34">(((D247*0.015)*12)/7)/30*7</f>
        <v>0.70440000000000014</v>
      </c>
      <c r="J247" s="16">
        <f t="shared" ref="J247:J251" si="35">D247/($E$32-$E$34)*$J$31</f>
        <v>-0.61769145939453318</v>
      </c>
      <c r="K247" s="19">
        <f t="shared" si="31"/>
        <v>8.6708540605466955E-2</v>
      </c>
      <c r="M247" s="13" t="s">
        <v>71</v>
      </c>
    </row>
    <row r="248" spans="1:13" x14ac:dyDescent="0.25">
      <c r="A248" s="1">
        <v>204</v>
      </c>
      <c r="B248" s="33"/>
      <c r="C248" s="66">
        <v>43441406</v>
      </c>
      <c r="D248" s="156">
        <v>57.9</v>
      </c>
      <c r="E248" s="5">
        <v>7.3760000000000003</v>
      </c>
      <c r="F248" s="5">
        <v>7.3760000000000003</v>
      </c>
      <c r="G248" s="5"/>
      <c r="H248" s="16">
        <f t="shared" si="33"/>
        <v>0</v>
      </c>
      <c r="I248" s="16">
        <f t="shared" si="34"/>
        <v>0.34739999999999999</v>
      </c>
      <c r="J248" s="16">
        <f t="shared" si="35"/>
        <v>-0.30463658857703124</v>
      </c>
      <c r="K248" s="19">
        <f t="shared" si="31"/>
        <v>4.2763411422968745E-2</v>
      </c>
      <c r="M248" s="13" t="s">
        <v>71</v>
      </c>
    </row>
    <row r="249" spans="1:13" x14ac:dyDescent="0.25">
      <c r="A249" s="1">
        <v>205</v>
      </c>
      <c r="B249" s="33" t="s">
        <v>149</v>
      </c>
      <c r="C249" s="66">
        <v>43441089</v>
      </c>
      <c r="D249" s="156">
        <v>58.3</v>
      </c>
      <c r="E249" s="5">
        <v>35.311999999999998</v>
      </c>
      <c r="F249" s="5">
        <v>35.311999999999998</v>
      </c>
      <c r="G249" s="5"/>
      <c r="H249" s="16">
        <f t="shared" si="33"/>
        <v>0</v>
      </c>
      <c r="I249" s="16">
        <f t="shared" si="34"/>
        <v>0.3498</v>
      </c>
      <c r="J249" s="16">
        <f t="shared" si="35"/>
        <v>-0.30674115913714889</v>
      </c>
      <c r="K249" s="19">
        <f t="shared" si="31"/>
        <v>4.3058840862851111E-2</v>
      </c>
      <c r="M249" s="13" t="s">
        <v>71</v>
      </c>
    </row>
    <row r="250" spans="1:13" x14ac:dyDescent="0.25">
      <c r="A250" s="1">
        <v>206</v>
      </c>
      <c r="B250" s="34"/>
      <c r="C250" s="66">
        <v>20242434</v>
      </c>
      <c r="D250" s="156">
        <v>46.3</v>
      </c>
      <c r="E250" s="5">
        <v>18.04</v>
      </c>
      <c r="F250" s="5">
        <v>18.138999999999999</v>
      </c>
      <c r="G250" s="5"/>
      <c r="H250" s="16">
        <f t="shared" si="33"/>
        <v>0</v>
      </c>
      <c r="I250" s="16">
        <f t="shared" si="34"/>
        <v>0.27780000000000005</v>
      </c>
      <c r="J250" s="16">
        <f t="shared" si="35"/>
        <v>-0.2436040423336191</v>
      </c>
      <c r="K250" s="19">
        <f t="shared" si="31"/>
        <v>3.4195957666380949E-2</v>
      </c>
      <c r="M250" s="13" t="s">
        <v>71</v>
      </c>
    </row>
    <row r="251" spans="1:13" x14ac:dyDescent="0.25">
      <c r="A251" s="1">
        <v>207</v>
      </c>
      <c r="B251" s="33"/>
      <c r="C251" s="66">
        <v>43441407</v>
      </c>
      <c r="D251" s="156">
        <v>77.900000000000006</v>
      </c>
      <c r="E251" s="5">
        <v>28.620999999999999</v>
      </c>
      <c r="F251" s="5">
        <v>28.757000000000001</v>
      </c>
      <c r="G251" s="5"/>
      <c r="H251" s="16">
        <f t="shared" si="33"/>
        <v>0</v>
      </c>
      <c r="I251" s="16">
        <f t="shared" si="34"/>
        <v>0.46740000000000004</v>
      </c>
      <c r="J251" s="16">
        <f t="shared" si="35"/>
        <v>-0.40986511658291425</v>
      </c>
      <c r="K251" s="19">
        <f t="shared" si="31"/>
        <v>5.7534883417085791E-2</v>
      </c>
      <c r="M251" s="13" t="s">
        <v>71</v>
      </c>
    </row>
    <row r="252" spans="1:13" x14ac:dyDescent="0.25">
      <c r="A252" s="1">
        <v>208</v>
      </c>
      <c r="B252" s="47">
        <v>45915</v>
      </c>
      <c r="C252" s="66">
        <v>43441412</v>
      </c>
      <c r="D252" s="156">
        <v>117.9</v>
      </c>
      <c r="E252" s="5">
        <v>50.046999999999997</v>
      </c>
      <c r="F252" s="5">
        <v>50.174999999999997</v>
      </c>
      <c r="G252" s="5">
        <f>F252-E252</f>
        <v>0.12800000000000011</v>
      </c>
      <c r="H252" s="16">
        <f>G252*0.8598</f>
        <v>0.11005440000000009</v>
      </c>
      <c r="I252" s="16"/>
      <c r="J252" s="16"/>
      <c r="K252" s="19">
        <f>H252+I252+J252</f>
        <v>0.11005440000000009</v>
      </c>
      <c r="M252" s="13" t="s">
        <v>69</v>
      </c>
    </row>
    <row r="253" spans="1:13" x14ac:dyDescent="0.25">
      <c r="A253" s="1">
        <v>209</v>
      </c>
      <c r="B253" s="53"/>
      <c r="C253" s="66">
        <v>43441411</v>
      </c>
      <c r="D253" s="156">
        <v>58.2</v>
      </c>
      <c r="E253" s="5">
        <v>27.905999999999999</v>
      </c>
      <c r="F253" s="5">
        <v>27.948</v>
      </c>
      <c r="G253" s="5"/>
      <c r="H253" s="16">
        <f t="shared" si="33"/>
        <v>0</v>
      </c>
      <c r="I253" s="16">
        <f>(((D253*0.015)*12)/7)/30*7</f>
        <v>0.34919999999999995</v>
      </c>
      <c r="J253" s="16">
        <f t="shared" ref="J253:J256" si="36">D253/($E$32-$E$34)*$J$31</f>
        <v>-0.30621501649711952</v>
      </c>
      <c r="K253" s="19">
        <f t="shared" si="31"/>
        <v>4.2984983502880436E-2</v>
      </c>
      <c r="M253" s="13" t="s">
        <v>71</v>
      </c>
    </row>
    <row r="254" spans="1:13" x14ac:dyDescent="0.25">
      <c r="A254" s="1">
        <v>210</v>
      </c>
      <c r="B254" s="47">
        <v>46230</v>
      </c>
      <c r="C254" s="66" t="s">
        <v>151</v>
      </c>
      <c r="D254" s="156">
        <v>58.6</v>
      </c>
      <c r="E254" s="5">
        <v>0</v>
      </c>
      <c r="F254" s="5">
        <v>2E-3</v>
      </c>
      <c r="G254" s="5"/>
      <c r="H254" s="16">
        <f>F254-E254</f>
        <v>2E-3</v>
      </c>
      <c r="I254" s="16"/>
      <c r="J254" s="16"/>
      <c r="K254" s="19">
        <f t="shared" si="31"/>
        <v>2E-3</v>
      </c>
      <c r="M254" s="13" t="s">
        <v>69</v>
      </c>
    </row>
    <row r="255" spans="1:13" x14ac:dyDescent="0.25">
      <c r="A255" s="1">
        <v>211</v>
      </c>
      <c r="B255" s="33" t="s">
        <v>152</v>
      </c>
      <c r="C255" s="66">
        <v>43441409</v>
      </c>
      <c r="D255" s="156">
        <v>46.7</v>
      </c>
      <c r="E255" s="5">
        <v>31.613</v>
      </c>
      <c r="F255" s="5">
        <v>31.613</v>
      </c>
      <c r="G255" s="5"/>
      <c r="H255" s="16">
        <f t="shared" si="33"/>
        <v>0</v>
      </c>
      <c r="I255" s="16">
        <f t="shared" ref="I255:I256" si="37">(((D255*0.015)*12)/7)/30*7</f>
        <v>0.2802</v>
      </c>
      <c r="J255" s="16">
        <f t="shared" si="36"/>
        <v>-0.2457086128937368</v>
      </c>
      <c r="K255" s="19">
        <f t="shared" si="31"/>
        <v>3.4491387106263205E-2</v>
      </c>
      <c r="M255" s="13" t="s">
        <v>71</v>
      </c>
    </row>
    <row r="256" spans="1:13" x14ac:dyDescent="0.25">
      <c r="A256" s="1">
        <v>212</v>
      </c>
      <c r="B256" s="33"/>
      <c r="C256" s="66">
        <v>43441410</v>
      </c>
      <c r="D256" s="156">
        <v>78.599999999999994</v>
      </c>
      <c r="E256" s="5">
        <v>43.343000000000004</v>
      </c>
      <c r="F256" s="5">
        <v>43.343000000000004</v>
      </c>
      <c r="G256" s="5"/>
      <c r="H256" s="16">
        <f t="shared" si="33"/>
        <v>0</v>
      </c>
      <c r="I256" s="16">
        <f t="shared" si="37"/>
        <v>0.47159999999999996</v>
      </c>
      <c r="J256" s="16">
        <f t="shared" si="36"/>
        <v>-0.41354811506312011</v>
      </c>
      <c r="K256" s="19">
        <f t="shared" si="31"/>
        <v>5.805188493687985E-2</v>
      </c>
      <c r="M256" s="13" t="s">
        <v>71</v>
      </c>
    </row>
    <row r="257" spans="1:13" x14ac:dyDescent="0.25">
      <c r="A257" s="1">
        <v>213</v>
      </c>
      <c r="B257" s="47">
        <v>45803</v>
      </c>
      <c r="C257" s="66">
        <v>43441403</v>
      </c>
      <c r="D257" s="156">
        <v>117.8</v>
      </c>
      <c r="E257" s="5">
        <v>49.991</v>
      </c>
      <c r="F257" s="5">
        <v>50.097999999999999</v>
      </c>
      <c r="G257" s="5">
        <f>F257-E257</f>
        <v>0.10699999999999932</v>
      </c>
      <c r="H257" s="16">
        <f t="shared" si="33"/>
        <v>9.1998599999999417E-2</v>
      </c>
      <c r="I257" s="16"/>
      <c r="J257" s="16"/>
      <c r="K257" s="19">
        <f t="shared" si="31"/>
        <v>9.1998599999999417E-2</v>
      </c>
      <c r="M257" s="13" t="s">
        <v>69</v>
      </c>
    </row>
    <row r="258" spans="1:13" x14ac:dyDescent="0.25">
      <c r="A258" s="1">
        <v>214</v>
      </c>
      <c r="B258" s="33"/>
      <c r="C258" s="66">
        <v>43441398</v>
      </c>
      <c r="D258" s="156">
        <v>57.8</v>
      </c>
      <c r="E258" s="5">
        <v>16.257000000000001</v>
      </c>
      <c r="F258" s="5">
        <v>16.257000000000001</v>
      </c>
      <c r="G258" s="5"/>
      <c r="H258" s="16">
        <f t="shared" si="33"/>
        <v>0</v>
      </c>
      <c r="I258" s="16">
        <f>(((D258*0.015)*12)/7)/30*7</f>
        <v>0.34679999999999994</v>
      </c>
      <c r="J258" s="16">
        <f t="shared" ref="J258" si="38">D258/($E$32-$E$34)*$J$31</f>
        <v>-0.30411044593700182</v>
      </c>
      <c r="K258" s="19">
        <f t="shared" si="31"/>
        <v>4.2689554062998125E-2</v>
      </c>
      <c r="M258" s="13" t="s">
        <v>71</v>
      </c>
    </row>
    <row r="259" spans="1:13" x14ac:dyDescent="0.25">
      <c r="A259" s="1">
        <v>215</v>
      </c>
      <c r="B259" s="47">
        <v>46269</v>
      </c>
      <c r="C259" s="66">
        <v>43441413</v>
      </c>
      <c r="D259" s="156">
        <v>58.8</v>
      </c>
      <c r="E259" s="5">
        <v>29.439</v>
      </c>
      <c r="F259" s="5">
        <v>29.439</v>
      </c>
      <c r="G259" s="5">
        <f>F259-E259</f>
        <v>0</v>
      </c>
      <c r="H259" s="16">
        <f t="shared" si="33"/>
        <v>0</v>
      </c>
      <c r="I259" s="16"/>
      <c r="J259" s="16"/>
      <c r="K259" s="19">
        <f t="shared" si="31"/>
        <v>0</v>
      </c>
      <c r="M259" s="13" t="s">
        <v>69</v>
      </c>
    </row>
    <row r="260" spans="1:13" x14ac:dyDescent="0.25">
      <c r="A260" s="1">
        <v>216</v>
      </c>
      <c r="B260" s="47">
        <v>45939</v>
      </c>
      <c r="C260" s="66">
        <v>43441401</v>
      </c>
      <c r="D260" s="156">
        <v>46.6</v>
      </c>
      <c r="E260" s="5">
        <v>41.773000000000003</v>
      </c>
      <c r="F260" s="5">
        <v>41.83</v>
      </c>
      <c r="G260" s="5">
        <f>F260-E260</f>
        <v>5.6999999999995055E-2</v>
      </c>
      <c r="H260" s="16">
        <f t="shared" si="33"/>
        <v>4.9008599999995746E-2</v>
      </c>
      <c r="I260" s="16"/>
      <c r="J260" s="16"/>
      <c r="K260" s="19">
        <f t="shared" si="31"/>
        <v>4.9008599999995746E-2</v>
      </c>
      <c r="M260" s="13" t="s">
        <v>69</v>
      </c>
    </row>
    <row r="261" spans="1:13" x14ac:dyDescent="0.25">
      <c r="A261" s="1">
        <v>217</v>
      </c>
      <c r="B261" s="33"/>
      <c r="C261" s="66">
        <v>43441404</v>
      </c>
      <c r="D261" s="156">
        <v>78.400000000000006</v>
      </c>
      <c r="E261" s="5">
        <v>40.097999999999999</v>
      </c>
      <c r="F261" s="5">
        <v>40.237000000000002</v>
      </c>
      <c r="G261" s="5"/>
      <c r="H261" s="16">
        <f t="shared" si="33"/>
        <v>0</v>
      </c>
      <c r="I261" s="16">
        <f>(((D261*0.015)*12)/7)/30*7</f>
        <v>0.47039999999999987</v>
      </c>
      <c r="J261" s="16">
        <f>D261/($E$32-$E$34)*$J$31</f>
        <v>-0.41249582978306132</v>
      </c>
      <c r="K261" s="19">
        <f t="shared" si="31"/>
        <v>5.7904170216938555E-2</v>
      </c>
      <c r="M261" s="13" t="s">
        <v>71</v>
      </c>
    </row>
    <row r="262" spans="1:13" x14ac:dyDescent="0.25">
      <c r="A262" s="1">
        <v>218</v>
      </c>
      <c r="B262" s="47">
        <v>45896</v>
      </c>
      <c r="C262" s="66">
        <v>43441396</v>
      </c>
      <c r="D262" s="156">
        <v>118.2</v>
      </c>
      <c r="E262" s="5">
        <v>22.038</v>
      </c>
      <c r="F262" s="5">
        <v>22.224</v>
      </c>
      <c r="G262" s="5">
        <f>F262-E262</f>
        <v>0.18599999999999994</v>
      </c>
      <c r="H262" s="16">
        <f t="shared" si="33"/>
        <v>0.15992279999999995</v>
      </c>
      <c r="I262" s="16"/>
      <c r="J262" s="16"/>
      <c r="K262" s="19">
        <f t="shared" si="31"/>
        <v>0.15992279999999995</v>
      </c>
      <c r="M262" s="13" t="s">
        <v>69</v>
      </c>
    </row>
    <row r="263" spans="1:13" x14ac:dyDescent="0.25">
      <c r="A263" s="1">
        <v>219</v>
      </c>
      <c r="B263" s="33"/>
      <c r="C263" s="66">
        <v>43441399</v>
      </c>
      <c r="D263" s="156">
        <v>58.3</v>
      </c>
      <c r="E263" s="5">
        <v>38.225000000000001</v>
      </c>
      <c r="F263" s="5">
        <v>38.323999999999998</v>
      </c>
      <c r="G263" s="5"/>
      <c r="H263" s="16">
        <f t="shared" si="33"/>
        <v>0</v>
      </c>
      <c r="I263" s="16">
        <f>(((D263*0.015)*12)/7)/30*7</f>
        <v>0.3498</v>
      </c>
      <c r="J263" s="16">
        <f>D263/($E$32-$E$34)*$J$31</f>
        <v>-0.30674115913714889</v>
      </c>
      <c r="K263" s="19">
        <f t="shared" si="31"/>
        <v>4.3058840862851111E-2</v>
      </c>
      <c r="M263" s="13" t="s">
        <v>71</v>
      </c>
    </row>
    <row r="264" spans="1:13" x14ac:dyDescent="0.25">
      <c r="A264" s="1">
        <v>220</v>
      </c>
      <c r="B264" s="47">
        <v>45566</v>
      </c>
      <c r="C264" s="10" t="s">
        <v>95</v>
      </c>
      <c r="D264" s="156">
        <v>59.4</v>
      </c>
      <c r="E264" s="39">
        <v>1.7279</v>
      </c>
      <c r="F264" s="39">
        <v>1.7279</v>
      </c>
      <c r="G264" s="5"/>
      <c r="H264" s="16">
        <f>F264-E264</f>
        <v>0</v>
      </c>
      <c r="I264" s="16"/>
      <c r="J264" s="16"/>
      <c r="K264" s="19">
        <f t="shared" si="31"/>
        <v>0</v>
      </c>
      <c r="M264" s="13" t="s">
        <v>69</v>
      </c>
    </row>
    <row r="265" spans="1:13" x14ac:dyDescent="0.25">
      <c r="A265" s="1">
        <v>221</v>
      </c>
      <c r="B265" s="47">
        <v>45727</v>
      </c>
      <c r="C265" s="71">
        <v>43441397</v>
      </c>
      <c r="D265" s="156">
        <v>46.9</v>
      </c>
      <c r="E265" s="5">
        <v>8.4689999999999994</v>
      </c>
      <c r="F265" s="5">
        <v>8.4689999999999994</v>
      </c>
      <c r="G265" s="5">
        <f>F265-E265</f>
        <v>0</v>
      </c>
      <c r="H265" s="16">
        <f>G265*0.8598</f>
        <v>0</v>
      </c>
      <c r="I265" s="16"/>
      <c r="J265" s="16"/>
      <c r="K265" s="19">
        <f t="shared" si="31"/>
        <v>0</v>
      </c>
      <c r="M265" s="13" t="s">
        <v>69</v>
      </c>
    </row>
    <row r="266" spans="1:13" x14ac:dyDescent="0.25">
      <c r="A266" s="1">
        <v>222</v>
      </c>
      <c r="B266" s="47">
        <v>45570</v>
      </c>
      <c r="C266" s="71">
        <v>43441402</v>
      </c>
      <c r="D266" s="156">
        <v>77.7</v>
      </c>
      <c r="E266" s="5">
        <v>65.162999999999997</v>
      </c>
      <c r="F266" s="5">
        <v>65.174999999999997</v>
      </c>
      <c r="G266" s="5">
        <f>F266-E266</f>
        <v>1.2000000000000455E-2</v>
      </c>
      <c r="H266" s="16">
        <f t="shared" ref="H266:H288" si="39">G266*0.8598</f>
        <v>1.0317600000000392E-2</v>
      </c>
      <c r="I266" s="16"/>
      <c r="J266" s="16"/>
      <c r="K266" s="19">
        <f t="shared" si="31"/>
        <v>1.0317600000000392E-2</v>
      </c>
      <c r="M266" s="13" t="s">
        <v>69</v>
      </c>
    </row>
    <row r="267" spans="1:13" x14ac:dyDescent="0.25">
      <c r="A267" s="1">
        <v>223</v>
      </c>
      <c r="B267" s="47">
        <v>45790</v>
      </c>
      <c r="C267" s="71">
        <v>43441209</v>
      </c>
      <c r="D267" s="156">
        <v>118.6</v>
      </c>
      <c r="E267" s="5">
        <v>85.2</v>
      </c>
      <c r="F267" s="5">
        <v>85.313000000000002</v>
      </c>
      <c r="G267" s="5">
        <f>F267-E267</f>
        <v>0.11299999999999955</v>
      </c>
      <c r="H267" s="16">
        <f t="shared" si="39"/>
        <v>9.7157399999999616E-2</v>
      </c>
      <c r="I267" s="16"/>
      <c r="J267" s="16"/>
      <c r="K267" s="19">
        <f t="shared" si="31"/>
        <v>9.7157399999999616E-2</v>
      </c>
      <c r="M267" s="13" t="s">
        <v>69</v>
      </c>
    </row>
    <row r="268" spans="1:13" x14ac:dyDescent="0.25">
      <c r="A268" s="1">
        <v>224</v>
      </c>
      <c r="B268" s="47">
        <v>45940</v>
      </c>
      <c r="C268" s="71">
        <v>43441210</v>
      </c>
      <c r="D268" s="156">
        <v>56.8</v>
      </c>
      <c r="E268" s="5">
        <v>13.131</v>
      </c>
      <c r="F268" s="5">
        <v>13.585000000000001</v>
      </c>
      <c r="G268" s="5">
        <f>F268-E268</f>
        <v>0.45400000000000063</v>
      </c>
      <c r="H268" s="16">
        <f t="shared" si="39"/>
        <v>0.39034920000000056</v>
      </c>
      <c r="I268" s="16"/>
      <c r="J268" s="16"/>
      <c r="K268" s="19">
        <f t="shared" si="31"/>
        <v>0.39034920000000056</v>
      </c>
      <c r="M268" s="13" t="s">
        <v>69</v>
      </c>
    </row>
    <row r="269" spans="1:13" x14ac:dyDescent="0.25">
      <c r="A269" s="1">
        <v>225</v>
      </c>
      <c r="B269" s="33"/>
      <c r="C269" s="71">
        <v>43441214</v>
      </c>
      <c r="D269" s="156">
        <v>58.9</v>
      </c>
      <c r="E269" s="5">
        <v>41.62</v>
      </c>
      <c r="F269" s="5">
        <v>41.712000000000003</v>
      </c>
      <c r="G269" s="5"/>
      <c r="H269" s="16">
        <f t="shared" si="39"/>
        <v>0</v>
      </c>
      <c r="I269" s="16">
        <f t="shared" ref="I269:I270" si="40">(((D269*0.015)*12)/7)/30*7</f>
        <v>0.35339999999999999</v>
      </c>
      <c r="J269" s="16">
        <f t="shared" ref="J269:J270" si="41">D269/($E$32-$E$34)*$J$31</f>
        <v>-0.30989801497732539</v>
      </c>
      <c r="K269" s="19">
        <f t="shared" si="31"/>
        <v>4.3501985022674605E-2</v>
      </c>
      <c r="M269" s="13" t="s">
        <v>71</v>
      </c>
    </row>
    <row r="270" spans="1:13" x14ac:dyDescent="0.25">
      <c r="A270" s="1">
        <v>226</v>
      </c>
      <c r="B270" s="33"/>
      <c r="C270" s="71">
        <v>43441215</v>
      </c>
      <c r="D270" s="156">
        <v>46.8</v>
      </c>
      <c r="E270" s="5">
        <v>25.734999999999999</v>
      </c>
      <c r="F270" s="5">
        <v>25.384</v>
      </c>
      <c r="G270" s="5"/>
      <c r="H270" s="16">
        <f t="shared" si="39"/>
        <v>0</v>
      </c>
      <c r="I270" s="16">
        <f t="shared" si="40"/>
        <v>0.28079999999999994</v>
      </c>
      <c r="J270" s="16">
        <f t="shared" si="41"/>
        <v>-0.24623475553376617</v>
      </c>
      <c r="K270" s="19">
        <f t="shared" si="31"/>
        <v>3.4565244466233769E-2</v>
      </c>
      <c r="M270" s="13" t="s">
        <v>71</v>
      </c>
    </row>
    <row r="271" spans="1:13" x14ac:dyDescent="0.25">
      <c r="A271" s="1">
        <v>227</v>
      </c>
      <c r="B271" s="47">
        <v>45927</v>
      </c>
      <c r="C271" s="71" t="s">
        <v>105</v>
      </c>
      <c r="D271" s="156">
        <v>78.2</v>
      </c>
      <c r="E271" s="5">
        <v>4.1310000000000002</v>
      </c>
      <c r="F271" s="5">
        <v>4.1669999999999998</v>
      </c>
      <c r="G271" s="5"/>
      <c r="H271" s="16">
        <f>F271-E271</f>
        <v>3.5999999999999588E-2</v>
      </c>
      <c r="I271" s="16"/>
      <c r="J271" s="16"/>
      <c r="K271" s="19">
        <f t="shared" si="31"/>
        <v>3.5999999999999588E-2</v>
      </c>
      <c r="M271" s="13" t="s">
        <v>69</v>
      </c>
    </row>
    <row r="272" spans="1:13" x14ac:dyDescent="0.25">
      <c r="A272" s="1">
        <v>228</v>
      </c>
      <c r="B272" s="33"/>
      <c r="C272" s="71">
        <v>43441212</v>
      </c>
      <c r="D272" s="156">
        <v>117.5</v>
      </c>
      <c r="E272" s="5">
        <v>40.628</v>
      </c>
      <c r="F272" s="5">
        <v>40.628</v>
      </c>
      <c r="G272" s="5"/>
      <c r="H272" s="16">
        <f t="shared" si="39"/>
        <v>0</v>
      </c>
      <c r="I272" s="16">
        <f>(((D272*0.015)*12)/7)/30*7</f>
        <v>0.70499999999999996</v>
      </c>
      <c r="J272" s="16">
        <f t="shared" ref="J272" si="42">D272/($E$32-$E$34)*$J$31</f>
        <v>-0.61821760203456255</v>
      </c>
      <c r="K272" s="19">
        <f>H272+I272+J272</f>
        <v>8.6782397965437408E-2</v>
      </c>
      <c r="M272" s="13" t="s">
        <v>71</v>
      </c>
    </row>
    <row r="273" spans="1:13" x14ac:dyDescent="0.25">
      <c r="A273" s="1">
        <v>229</v>
      </c>
      <c r="B273" s="47">
        <v>46279</v>
      </c>
      <c r="C273" s="71">
        <v>43441218</v>
      </c>
      <c r="D273" s="156">
        <v>57.8</v>
      </c>
      <c r="E273" s="5">
        <v>25.35</v>
      </c>
      <c r="F273" s="5">
        <v>25.396000000000001</v>
      </c>
      <c r="G273" s="5">
        <f>F273-E273</f>
        <v>4.5999999999999375E-2</v>
      </c>
      <c r="H273" s="16">
        <f t="shared" si="39"/>
        <v>3.9550799999999463E-2</v>
      </c>
      <c r="I273" s="16"/>
      <c r="J273" s="16"/>
      <c r="K273" s="19">
        <f>H273+I273+J273</f>
        <v>3.9550799999999463E-2</v>
      </c>
      <c r="M273" s="13" t="s">
        <v>69</v>
      </c>
    </row>
    <row r="274" spans="1:13" x14ac:dyDescent="0.25">
      <c r="A274" s="1">
        <v>230</v>
      </c>
      <c r="B274" s="47">
        <v>45914</v>
      </c>
      <c r="C274" s="71">
        <v>43441227</v>
      </c>
      <c r="D274" s="156">
        <v>58.4</v>
      </c>
      <c r="E274" s="5">
        <v>25.605</v>
      </c>
      <c r="F274" s="5">
        <v>25.658000000000001</v>
      </c>
      <c r="G274" s="5">
        <f>F274-E274</f>
        <v>5.3000000000000824E-2</v>
      </c>
      <c r="H274" s="16">
        <f t="shared" si="39"/>
        <v>4.5569400000000711E-2</v>
      </c>
      <c r="I274" s="16"/>
      <c r="J274" s="16"/>
      <c r="K274" s="19">
        <f t="shared" si="31"/>
        <v>4.5569400000000711E-2</v>
      </c>
      <c r="M274" s="13" t="s">
        <v>69</v>
      </c>
    </row>
    <row r="275" spans="1:13" x14ac:dyDescent="0.25">
      <c r="A275" s="1">
        <v>231</v>
      </c>
      <c r="B275" s="33"/>
      <c r="C275" s="71">
        <v>43441216</v>
      </c>
      <c r="D275" s="156">
        <v>47</v>
      </c>
      <c r="E275" s="5">
        <v>14.618</v>
      </c>
      <c r="F275" s="5">
        <v>14.618</v>
      </c>
      <c r="G275" s="5"/>
      <c r="H275" s="16">
        <f t="shared" si="39"/>
        <v>0</v>
      </c>
      <c r="I275" s="16">
        <f>(((D275*0.015)*12)/7)/30*7</f>
        <v>0.28199999999999997</v>
      </c>
      <c r="J275" s="16">
        <f>D275/($E$32-$E$34)*$J$31</f>
        <v>-0.24728704081382502</v>
      </c>
      <c r="K275" s="19">
        <f t="shared" si="31"/>
        <v>3.4712959186174952E-2</v>
      </c>
      <c r="M275" s="13" t="s">
        <v>71</v>
      </c>
    </row>
    <row r="276" spans="1:13" x14ac:dyDescent="0.25">
      <c r="A276" s="1">
        <v>232</v>
      </c>
      <c r="B276" s="47">
        <v>45738</v>
      </c>
      <c r="C276" s="10" t="s">
        <v>104</v>
      </c>
      <c r="D276" s="156">
        <v>78</v>
      </c>
      <c r="E276" s="39">
        <v>2.8649</v>
      </c>
      <c r="F276" s="39">
        <v>2.9359999999999999</v>
      </c>
      <c r="G276" s="5"/>
      <c r="H276" s="16">
        <f>F276-E276</f>
        <v>7.1099999999999941E-2</v>
      </c>
      <c r="I276" s="16"/>
      <c r="J276" s="16"/>
      <c r="K276" s="19">
        <f t="shared" si="31"/>
        <v>7.1099999999999941E-2</v>
      </c>
      <c r="M276" s="13" t="s">
        <v>69</v>
      </c>
    </row>
    <row r="277" spans="1:13" x14ac:dyDescent="0.25">
      <c r="A277" s="1">
        <v>233</v>
      </c>
      <c r="B277" s="47">
        <v>45790</v>
      </c>
      <c r="C277" s="71">
        <v>43441226</v>
      </c>
      <c r="D277" s="156">
        <v>117.7</v>
      </c>
      <c r="E277" s="5">
        <v>17.556000000000001</v>
      </c>
      <c r="F277" s="5">
        <v>17.556000000000001</v>
      </c>
      <c r="G277" s="5">
        <f>F277-E277</f>
        <v>0</v>
      </c>
      <c r="H277" s="16">
        <f>G277*0.8598</f>
        <v>0</v>
      </c>
      <c r="I277" s="16"/>
      <c r="J277" s="16"/>
      <c r="K277" s="19">
        <f t="shared" si="31"/>
        <v>0</v>
      </c>
      <c r="M277" s="13" t="s">
        <v>69</v>
      </c>
    </row>
    <row r="278" spans="1:13" x14ac:dyDescent="0.25">
      <c r="A278" s="1">
        <v>234</v>
      </c>
      <c r="B278" s="33"/>
      <c r="C278" s="71">
        <v>43441225</v>
      </c>
      <c r="D278" s="156">
        <v>57.8</v>
      </c>
      <c r="E278" s="5">
        <v>24.885999999999999</v>
      </c>
      <c r="F278" s="5">
        <v>24.885999999999999</v>
      </c>
      <c r="G278" s="5"/>
      <c r="H278" s="16">
        <f t="shared" si="39"/>
        <v>0</v>
      </c>
      <c r="I278" s="16">
        <f>(((D278*0.015)*12)/7)/30*7</f>
        <v>0.34679999999999994</v>
      </c>
      <c r="J278" s="16">
        <f>D278/($E$32-$E$34)*$J$31</f>
        <v>-0.30411044593700182</v>
      </c>
      <c r="K278" s="19">
        <f t="shared" si="31"/>
        <v>4.2689554062998125E-2</v>
      </c>
      <c r="M278" s="13" t="s">
        <v>71</v>
      </c>
    </row>
    <row r="279" spans="1:13" x14ac:dyDescent="0.25">
      <c r="A279" s="1">
        <v>235</v>
      </c>
      <c r="B279" s="47">
        <v>45748</v>
      </c>
      <c r="C279" s="71">
        <v>43441222</v>
      </c>
      <c r="D279" s="156">
        <v>58.3</v>
      </c>
      <c r="E279" s="5">
        <v>5.23</v>
      </c>
      <c r="F279" s="5">
        <v>5.23</v>
      </c>
      <c r="G279" s="5">
        <f>F279-E279</f>
        <v>0</v>
      </c>
      <c r="H279" s="16">
        <f t="shared" si="39"/>
        <v>0</v>
      </c>
      <c r="I279" s="16"/>
      <c r="J279" s="16"/>
      <c r="K279" s="19">
        <f t="shared" si="31"/>
        <v>0</v>
      </c>
      <c r="M279" s="13" t="s">
        <v>69</v>
      </c>
    </row>
    <row r="280" spans="1:13" x14ac:dyDescent="0.25">
      <c r="A280" s="1">
        <v>236</v>
      </c>
      <c r="B280" s="33"/>
      <c r="C280" s="71">
        <v>43441223</v>
      </c>
      <c r="D280" s="156">
        <v>47</v>
      </c>
      <c r="E280" s="5">
        <v>28.978999999999999</v>
      </c>
      <c r="F280" s="5">
        <v>28.978999999999999</v>
      </c>
      <c r="G280" s="5"/>
      <c r="H280" s="16">
        <f t="shared" si="39"/>
        <v>0</v>
      </c>
      <c r="I280" s="16">
        <f>(((D280*0.015)*12)/7)/30*7</f>
        <v>0.28199999999999997</v>
      </c>
      <c r="J280" s="16">
        <f>D280/($E$32-$E$34)*$J$31</f>
        <v>-0.24728704081382502</v>
      </c>
      <c r="K280" s="19">
        <f t="shared" si="31"/>
        <v>3.4712959186174952E-2</v>
      </c>
      <c r="M280" s="13" t="s">
        <v>71</v>
      </c>
    </row>
    <row r="281" spans="1:13" x14ac:dyDescent="0.25">
      <c r="A281" s="1">
        <v>237</v>
      </c>
      <c r="B281" s="47">
        <v>45703</v>
      </c>
      <c r="C281" s="71">
        <v>43441224</v>
      </c>
      <c r="D281" s="156">
        <v>77</v>
      </c>
      <c r="E281" s="5">
        <v>54.104999999999997</v>
      </c>
      <c r="F281" s="5">
        <v>54.259</v>
      </c>
      <c r="G281" s="5">
        <f>F281-E281</f>
        <v>0.15400000000000347</v>
      </c>
      <c r="H281" s="16">
        <f t="shared" si="39"/>
        <v>0.13240920000000297</v>
      </c>
      <c r="I281" s="16"/>
      <c r="J281" s="16"/>
      <c r="K281" s="19">
        <f t="shared" si="31"/>
        <v>0.13240920000000297</v>
      </c>
      <c r="M281" s="13" t="s">
        <v>69</v>
      </c>
    </row>
    <row r="282" spans="1:13" x14ac:dyDescent="0.25">
      <c r="A282" s="1">
        <v>238</v>
      </c>
      <c r="B282" s="47">
        <v>45957</v>
      </c>
      <c r="C282" s="71" t="s">
        <v>115</v>
      </c>
      <c r="D282" s="156">
        <v>117.8</v>
      </c>
      <c r="E282" s="39">
        <v>3.8610000000000002</v>
      </c>
      <c r="F282" s="39">
        <v>3.8610000000000002</v>
      </c>
      <c r="G282" s="5"/>
      <c r="H282" s="16">
        <f>F282-E282</f>
        <v>0</v>
      </c>
      <c r="I282" s="16"/>
      <c r="J282" s="16"/>
      <c r="K282" s="19">
        <f t="shared" si="31"/>
        <v>0</v>
      </c>
      <c r="M282" s="13" t="s">
        <v>69</v>
      </c>
    </row>
    <row r="283" spans="1:13" x14ac:dyDescent="0.25">
      <c r="A283" s="1">
        <v>239</v>
      </c>
      <c r="B283" s="48">
        <v>45871</v>
      </c>
      <c r="C283" s="71">
        <v>43441220</v>
      </c>
      <c r="D283" s="156">
        <v>58.1</v>
      </c>
      <c r="E283" s="5">
        <v>36.369</v>
      </c>
      <c r="F283" s="5">
        <v>36.396999999999998</v>
      </c>
      <c r="G283" s="5">
        <f>F283-E283</f>
        <v>2.7999999999998693E-2</v>
      </c>
      <c r="H283" s="16">
        <f>G283*0.8598</f>
        <v>2.4074399999998875E-2</v>
      </c>
      <c r="I283" s="16"/>
      <c r="J283" s="16"/>
      <c r="K283" s="19">
        <f t="shared" si="31"/>
        <v>2.4074399999998875E-2</v>
      </c>
      <c r="M283" s="13" t="s">
        <v>69</v>
      </c>
    </row>
    <row r="284" spans="1:13" x14ac:dyDescent="0.25">
      <c r="A284" s="1">
        <v>240</v>
      </c>
      <c r="B284" s="33"/>
      <c r="C284" s="71">
        <v>20242417</v>
      </c>
      <c r="D284" s="156">
        <v>58.7</v>
      </c>
      <c r="E284" s="5">
        <v>32.790999999999997</v>
      </c>
      <c r="F284" s="5">
        <v>32.841999999999999</v>
      </c>
      <c r="G284" s="5"/>
      <c r="H284" s="16">
        <f t="shared" si="39"/>
        <v>0</v>
      </c>
      <c r="I284" s="16">
        <f t="shared" ref="I284:I286" si="43">(((D284*0.015)*12)/7)/30*7</f>
        <v>0.35220000000000007</v>
      </c>
      <c r="J284" s="16">
        <f t="shared" ref="J284:J286" si="44">D284/($E$32-$E$34)*$J$31</f>
        <v>-0.30884572969726659</v>
      </c>
      <c r="K284" s="19">
        <f t="shared" si="31"/>
        <v>4.3354270302733477E-2</v>
      </c>
      <c r="M284" s="13" t="s">
        <v>71</v>
      </c>
    </row>
    <row r="285" spans="1:13" x14ac:dyDescent="0.25">
      <c r="A285" s="1">
        <v>241</v>
      </c>
      <c r="B285" s="33"/>
      <c r="C285" s="71">
        <v>20242445</v>
      </c>
      <c r="D285" s="156">
        <v>46.5</v>
      </c>
      <c r="E285" s="5">
        <v>24.405000000000001</v>
      </c>
      <c r="F285" s="5">
        <v>24.405000000000001</v>
      </c>
      <c r="G285" s="5"/>
      <c r="H285" s="16">
        <f t="shared" si="39"/>
        <v>0</v>
      </c>
      <c r="I285" s="16">
        <f t="shared" si="43"/>
        <v>0.27900000000000003</v>
      </c>
      <c r="J285" s="16">
        <f t="shared" si="44"/>
        <v>-0.24465632761367795</v>
      </c>
      <c r="K285" s="19">
        <f t="shared" si="31"/>
        <v>3.4343672386322077E-2</v>
      </c>
      <c r="M285" s="13" t="s">
        <v>71</v>
      </c>
    </row>
    <row r="286" spans="1:13" x14ac:dyDescent="0.25">
      <c r="A286" s="1">
        <v>242</v>
      </c>
      <c r="B286" s="33"/>
      <c r="C286" s="71">
        <v>43441219</v>
      </c>
      <c r="D286" s="156">
        <v>78.3</v>
      </c>
      <c r="E286" s="5">
        <v>67.441000000000003</v>
      </c>
      <c r="F286" s="5">
        <v>67.569000000000003</v>
      </c>
      <c r="G286" s="5"/>
      <c r="H286" s="16">
        <f t="shared" si="39"/>
        <v>0</v>
      </c>
      <c r="I286" s="16">
        <f t="shared" si="43"/>
        <v>0.46979999999999988</v>
      </c>
      <c r="J286" s="16">
        <f t="shared" si="44"/>
        <v>-0.41196968714303189</v>
      </c>
      <c r="K286" s="19">
        <f t="shared" si="31"/>
        <v>5.7830312856967991E-2</v>
      </c>
      <c r="M286" s="13" t="s">
        <v>71</v>
      </c>
    </row>
    <row r="287" spans="1:13" x14ac:dyDescent="0.25">
      <c r="A287" s="1">
        <v>243</v>
      </c>
      <c r="B287" s="47">
        <v>46248</v>
      </c>
      <c r="C287" s="71">
        <v>20242421</v>
      </c>
      <c r="D287" s="156">
        <v>117.2</v>
      </c>
      <c r="E287" s="5">
        <v>58.061</v>
      </c>
      <c r="F287" s="5">
        <v>58.264000000000003</v>
      </c>
      <c r="G287" s="5">
        <f>F287-E287</f>
        <v>0.20300000000000296</v>
      </c>
      <c r="H287" s="16">
        <f>G287*0.8598</f>
        <v>0.17453940000000254</v>
      </c>
      <c r="I287" s="16"/>
      <c r="J287" s="16"/>
      <c r="K287" s="19">
        <f t="shared" si="31"/>
        <v>0.17453940000000254</v>
      </c>
      <c r="M287" s="13" t="s">
        <v>69</v>
      </c>
    </row>
    <row r="288" spans="1:13" x14ac:dyDescent="0.25">
      <c r="A288" s="1">
        <v>244</v>
      </c>
      <c r="B288" s="47">
        <v>45803</v>
      </c>
      <c r="C288" s="71">
        <v>20242431</v>
      </c>
      <c r="D288" s="156">
        <v>57.8</v>
      </c>
      <c r="E288" s="5">
        <v>12.362</v>
      </c>
      <c r="F288" s="5">
        <v>13.053000000000001</v>
      </c>
      <c r="G288" s="5">
        <f>F288-E288</f>
        <v>0.69100000000000072</v>
      </c>
      <c r="H288" s="16">
        <f t="shared" si="39"/>
        <v>0.59412180000000059</v>
      </c>
      <c r="I288" s="16"/>
      <c r="J288" s="16"/>
      <c r="K288" s="19">
        <f t="shared" si="31"/>
        <v>0.59412180000000059</v>
      </c>
      <c r="M288" s="13" t="s">
        <v>69</v>
      </c>
    </row>
    <row r="289" spans="1:13" x14ac:dyDescent="0.25">
      <c r="A289" s="1">
        <v>245</v>
      </c>
      <c r="B289" s="47">
        <v>45887</v>
      </c>
      <c r="C289" s="71">
        <v>20242432</v>
      </c>
      <c r="D289" s="156">
        <v>58.2</v>
      </c>
      <c r="E289" s="5">
        <v>12.154</v>
      </c>
      <c r="F289" s="5">
        <v>12.154</v>
      </c>
      <c r="G289" s="5">
        <f>F289-E289</f>
        <v>0</v>
      </c>
      <c r="H289" s="16">
        <f>G289*0.8598</f>
        <v>0</v>
      </c>
      <c r="I289" s="16"/>
      <c r="J289" s="16"/>
      <c r="K289" s="19">
        <f t="shared" si="31"/>
        <v>0</v>
      </c>
      <c r="M289" s="13" t="s">
        <v>69</v>
      </c>
    </row>
    <row r="290" spans="1:13" x14ac:dyDescent="0.25">
      <c r="A290" s="1">
        <v>246</v>
      </c>
      <c r="B290" s="33"/>
      <c r="C290" s="71">
        <v>20242451</v>
      </c>
      <c r="D290" s="156">
        <v>45.8</v>
      </c>
      <c r="E290" s="5">
        <v>25.164000000000001</v>
      </c>
      <c r="F290" s="5">
        <v>25.164000000000001</v>
      </c>
      <c r="G290" s="5"/>
      <c r="H290" s="16">
        <f>G290*0.8598</f>
        <v>0</v>
      </c>
      <c r="I290" s="16">
        <f>(((D290*0.015)*12)/7)/30*7</f>
        <v>0.27479999999999999</v>
      </c>
      <c r="J290" s="16">
        <f>D290/($E$32-$E$34)*$J$31</f>
        <v>-0.24097332913347203</v>
      </c>
      <c r="K290" s="19">
        <f t="shared" si="31"/>
        <v>3.3826670866527964E-2</v>
      </c>
      <c r="M290" s="13" t="s">
        <v>71</v>
      </c>
    </row>
    <row r="291" spans="1:13" ht="15.75" thickBot="1" x14ac:dyDescent="0.3">
      <c r="A291" s="42">
        <v>247</v>
      </c>
      <c r="B291" s="47">
        <v>45887</v>
      </c>
      <c r="C291" s="72">
        <v>20242442</v>
      </c>
      <c r="D291" s="163">
        <v>77.599999999999994</v>
      </c>
      <c r="E291" s="27">
        <v>34.548999999999999</v>
      </c>
      <c r="F291" s="27">
        <v>34.548999999999999</v>
      </c>
      <c r="G291" s="5">
        <f>F291-E291</f>
        <v>0</v>
      </c>
      <c r="H291" s="95">
        <f>G291*0.8598</f>
        <v>0</v>
      </c>
      <c r="I291" s="96"/>
      <c r="J291" s="16"/>
      <c r="K291" s="19">
        <f t="shared" si="31"/>
        <v>0</v>
      </c>
      <c r="M291" s="13" t="s">
        <v>69</v>
      </c>
    </row>
    <row r="292" spans="1:13" ht="15.75" thickBot="1" x14ac:dyDescent="0.3">
      <c r="A292" s="219" t="s">
        <v>81</v>
      </c>
      <c r="B292" s="220"/>
      <c r="C292" s="220"/>
      <c r="D292" s="92">
        <f>SUM(D227:D291)</f>
        <v>4660.1000000000022</v>
      </c>
      <c r="E292" s="221" t="s">
        <v>82</v>
      </c>
      <c r="F292" s="221"/>
      <c r="G292" s="221"/>
      <c r="H292" s="64">
        <f>SUM(H227:H291)</f>
        <v>2.5297956000000044</v>
      </c>
      <c r="I292" s="64">
        <f>SUM(I227:I291)</f>
        <v>9.7907999999999991</v>
      </c>
      <c r="J292" s="64">
        <f>SUM(J227:J291)</f>
        <v>-8.5855955999999942</v>
      </c>
      <c r="K292" s="93">
        <f>SUM(K227:K291)</f>
        <v>3.735000000000011</v>
      </c>
      <c r="M292" s="13"/>
    </row>
    <row r="293" spans="1:13" x14ac:dyDescent="0.25">
      <c r="A293" s="222" t="s">
        <v>3</v>
      </c>
      <c r="B293" s="222"/>
      <c r="C293" s="222"/>
      <c r="D293" s="97">
        <f>SUM(D116,D173,D226,D292)</f>
        <v>17590.400000000005</v>
      </c>
      <c r="E293" s="65">
        <f>SUM(E42:E291)</f>
        <v>6935.9385999999949</v>
      </c>
      <c r="F293" s="65">
        <f>SUM(F42:F291)</f>
        <v>6949.0886000000028</v>
      </c>
      <c r="G293" s="6">
        <f>F293-E293</f>
        <v>13.150000000007822</v>
      </c>
      <c r="H293" s="65">
        <f>SUM(H116,H173,H226,H292)</f>
        <v>7.8010922000000065</v>
      </c>
      <c r="I293" s="65">
        <f>SUM(I116,I173,I226,I292)</f>
        <v>25.094399999999997</v>
      </c>
      <c r="J293" s="65">
        <f>SUM(J116,J173,J226,J292)</f>
        <v>-16.994492199999986</v>
      </c>
      <c r="K293" s="65">
        <f>SUM(K116,K173,K226,K292)</f>
        <v>15.901000000000021</v>
      </c>
      <c r="L293" s="20"/>
      <c r="M293" s="21"/>
    </row>
    <row r="294" spans="1:13" x14ac:dyDescent="0.25">
      <c r="H294" s="98"/>
      <c r="I294" s="98"/>
      <c r="L294" s="62"/>
      <c r="M294" s="12"/>
    </row>
    <row r="295" spans="1:13" x14ac:dyDescent="0.25">
      <c r="J295" s="2"/>
      <c r="K295" s="2"/>
      <c r="M295" s="62"/>
    </row>
    <row r="296" spans="1:13" ht="18.75" customHeight="1" x14ac:dyDescent="0.25">
      <c r="A296" s="207" t="s">
        <v>34</v>
      </c>
      <c r="B296" s="40" t="s">
        <v>61</v>
      </c>
      <c r="C296" s="209" t="s">
        <v>35</v>
      </c>
      <c r="D296" s="211" t="s">
        <v>2</v>
      </c>
      <c r="E296" s="17" t="s">
        <v>135</v>
      </c>
      <c r="F296" s="17" t="s">
        <v>153</v>
      </c>
      <c r="G296" s="99" t="s">
        <v>53</v>
      </c>
      <c r="H296" s="4"/>
      <c r="I296" s="4"/>
      <c r="J296" s="2"/>
      <c r="K296" s="2"/>
    </row>
    <row r="297" spans="1:13" ht="18.75" customHeight="1" x14ac:dyDescent="0.25">
      <c r="A297" s="208"/>
      <c r="B297" s="100" t="s">
        <v>62</v>
      </c>
      <c r="C297" s="210"/>
      <c r="D297" s="212"/>
      <c r="E297" s="25" t="s">
        <v>36</v>
      </c>
      <c r="F297" s="25" t="s">
        <v>36</v>
      </c>
      <c r="G297" s="32" t="s">
        <v>54</v>
      </c>
      <c r="J297" s="2"/>
      <c r="K297" s="2"/>
    </row>
    <row r="298" spans="1:13" x14ac:dyDescent="0.25">
      <c r="A298" s="101" t="s">
        <v>37</v>
      </c>
      <c r="B298" s="102"/>
      <c r="C298" s="26">
        <v>43441481</v>
      </c>
      <c r="D298" s="26">
        <v>120.9</v>
      </c>
      <c r="E298" s="22">
        <v>62.444000000000003</v>
      </c>
      <c r="F298" s="22">
        <v>62.444000000000003</v>
      </c>
      <c r="G298" s="22">
        <f>(F298-E298)*0.8598</f>
        <v>0</v>
      </c>
      <c r="J298" s="2"/>
      <c r="K298" s="2"/>
    </row>
    <row r="299" spans="1:13" x14ac:dyDescent="0.25">
      <c r="A299" s="101" t="s">
        <v>38</v>
      </c>
      <c r="B299" s="102"/>
      <c r="C299" s="26">
        <v>43441178</v>
      </c>
      <c r="D299" s="26">
        <v>68.5</v>
      </c>
      <c r="E299" s="22">
        <v>0</v>
      </c>
      <c r="F299" s="22">
        <v>0</v>
      </c>
      <c r="G299" s="22">
        <f t="shared" ref="G299:G312" si="45">(F299-E299)*0.8598</f>
        <v>0</v>
      </c>
      <c r="J299" s="2"/>
      <c r="K299" s="2"/>
    </row>
    <row r="300" spans="1:13" x14ac:dyDescent="0.25">
      <c r="A300" s="101" t="s">
        <v>39</v>
      </c>
      <c r="B300" s="102"/>
      <c r="C300" s="26">
        <v>43441179</v>
      </c>
      <c r="D300" s="26">
        <v>106.9</v>
      </c>
      <c r="E300" s="22">
        <v>36.182000000000002</v>
      </c>
      <c r="F300" s="22">
        <v>36.182000000000002</v>
      </c>
      <c r="G300" s="22">
        <f t="shared" si="45"/>
        <v>0</v>
      </c>
      <c r="J300" s="2"/>
      <c r="K300" s="2"/>
    </row>
    <row r="301" spans="1:13" x14ac:dyDescent="0.25">
      <c r="A301" s="101" t="s">
        <v>40</v>
      </c>
      <c r="B301" s="102"/>
      <c r="C301" s="26">
        <v>43441177</v>
      </c>
      <c r="D301" s="26">
        <v>163.80000000000001</v>
      </c>
      <c r="E301" s="22">
        <v>189.64099999999999</v>
      </c>
      <c r="F301" s="22">
        <v>189.64099999999999</v>
      </c>
      <c r="G301" s="22">
        <f t="shared" si="45"/>
        <v>0</v>
      </c>
      <c r="J301" s="2"/>
      <c r="K301" s="2"/>
    </row>
    <row r="302" spans="1:13" x14ac:dyDescent="0.25">
      <c r="A302" s="101" t="s">
        <v>41</v>
      </c>
      <c r="B302" s="102"/>
      <c r="C302" s="26">
        <v>43441482</v>
      </c>
      <c r="D302" s="26">
        <v>109.8</v>
      </c>
      <c r="E302" s="22">
        <v>168.74600000000001</v>
      </c>
      <c r="F302" s="22">
        <v>168.75</v>
      </c>
      <c r="G302" s="22">
        <f t="shared" si="45"/>
        <v>3.4391999999919846E-3</v>
      </c>
      <c r="I302" s="186"/>
      <c r="J302" s="186"/>
      <c r="K302" s="2"/>
    </row>
    <row r="303" spans="1:13" x14ac:dyDescent="0.25">
      <c r="A303" s="101" t="s">
        <v>42</v>
      </c>
      <c r="B303" s="102"/>
      <c r="C303" s="26">
        <v>43441483</v>
      </c>
      <c r="D303" s="26">
        <v>58.7</v>
      </c>
      <c r="E303" s="22">
        <v>192.298</v>
      </c>
      <c r="F303" s="22">
        <v>192.90100000000001</v>
      </c>
      <c r="G303" s="22">
        <f t="shared" si="45"/>
        <v>0.51845940000000745</v>
      </c>
      <c r="J303" s="2"/>
      <c r="K303" s="2"/>
    </row>
    <row r="304" spans="1:13" x14ac:dyDescent="0.25">
      <c r="A304" s="101" t="s">
        <v>43</v>
      </c>
      <c r="B304" s="102"/>
      <c r="C304" s="26">
        <v>41444210</v>
      </c>
      <c r="D304" s="26">
        <v>89.1</v>
      </c>
      <c r="E304" s="22">
        <v>150.23599999999999</v>
      </c>
      <c r="F304" s="22">
        <v>150.239</v>
      </c>
      <c r="G304" s="22">
        <f t="shared" si="45"/>
        <v>2.5794000000123165E-3</v>
      </c>
      <c r="J304" s="2"/>
      <c r="K304" s="2"/>
    </row>
    <row r="305" spans="1:13" x14ac:dyDescent="0.25">
      <c r="A305" s="101" t="s">
        <v>44</v>
      </c>
      <c r="B305" s="102"/>
      <c r="C305" s="26">
        <v>20242453</v>
      </c>
      <c r="D305" s="26">
        <v>56.5</v>
      </c>
      <c r="E305" s="22">
        <v>0</v>
      </c>
      <c r="F305" s="22">
        <v>0</v>
      </c>
      <c r="G305" s="22">
        <f t="shared" si="45"/>
        <v>0</v>
      </c>
      <c r="J305" s="2"/>
      <c r="K305" s="2"/>
    </row>
    <row r="306" spans="1:13" x14ac:dyDescent="0.25">
      <c r="A306" s="101" t="s">
        <v>45</v>
      </c>
      <c r="B306" s="102"/>
      <c r="C306" s="26">
        <v>20242426</v>
      </c>
      <c r="D306" s="26">
        <v>96</v>
      </c>
      <c r="E306" s="22">
        <v>135.11199999999999</v>
      </c>
      <c r="F306" s="22">
        <v>135.172</v>
      </c>
      <c r="G306" s="22">
        <f t="shared" si="45"/>
        <v>5.1588000000001959E-2</v>
      </c>
      <c r="J306" s="2"/>
      <c r="K306" s="2"/>
    </row>
    <row r="307" spans="1:13" x14ac:dyDescent="0.25">
      <c r="A307" s="101" t="s">
        <v>46</v>
      </c>
      <c r="B307" s="102"/>
      <c r="C307" s="26">
        <v>20242457</v>
      </c>
      <c r="D307" s="26">
        <v>103.3</v>
      </c>
      <c r="E307" s="22">
        <v>134.322</v>
      </c>
      <c r="F307" s="22">
        <v>134.322</v>
      </c>
      <c r="G307" s="22">
        <f t="shared" si="45"/>
        <v>0</v>
      </c>
      <c r="J307" s="2"/>
      <c r="K307" s="2"/>
    </row>
    <row r="308" spans="1:13" x14ac:dyDescent="0.25">
      <c r="A308" s="101" t="s">
        <v>47</v>
      </c>
      <c r="B308" s="102"/>
      <c r="C308" s="26">
        <v>20242455</v>
      </c>
      <c r="D308" s="26">
        <v>43.4</v>
      </c>
      <c r="E308" s="22">
        <v>0</v>
      </c>
      <c r="F308" s="22">
        <v>0</v>
      </c>
      <c r="G308" s="22">
        <f t="shared" si="45"/>
        <v>0</v>
      </c>
      <c r="J308" s="2"/>
      <c r="K308" s="2"/>
    </row>
    <row r="309" spans="1:13" x14ac:dyDescent="0.25">
      <c r="A309" s="101" t="s">
        <v>48</v>
      </c>
      <c r="B309" s="102"/>
      <c r="C309" s="26">
        <v>20442453</v>
      </c>
      <c r="D309" s="26">
        <v>79.900000000000006</v>
      </c>
      <c r="E309" s="22">
        <v>115.643</v>
      </c>
      <c r="F309" s="22">
        <v>116.02500000000001</v>
      </c>
      <c r="G309" s="22">
        <f t="shared" si="45"/>
        <v>0.32844360000000428</v>
      </c>
      <c r="J309" s="2"/>
      <c r="K309" s="2"/>
    </row>
    <row r="310" spans="1:13" x14ac:dyDescent="0.25">
      <c r="A310" s="101" t="s">
        <v>49</v>
      </c>
      <c r="B310" s="102"/>
      <c r="C310" s="26">
        <v>20242456</v>
      </c>
      <c r="D310" s="26">
        <v>106.1</v>
      </c>
      <c r="E310" s="22">
        <v>49.536000000000001</v>
      </c>
      <c r="F310" s="22">
        <v>49.536000000000001</v>
      </c>
      <c r="G310" s="22">
        <f t="shared" si="45"/>
        <v>0</v>
      </c>
      <c r="J310" s="2"/>
      <c r="K310" s="2"/>
    </row>
    <row r="311" spans="1:13" x14ac:dyDescent="0.25">
      <c r="A311" s="101" t="s">
        <v>50</v>
      </c>
      <c r="B311" s="102"/>
      <c r="C311" s="26">
        <v>20242415</v>
      </c>
      <c r="D311" s="26">
        <v>137.9</v>
      </c>
      <c r="E311" s="22">
        <v>201.50899999999999</v>
      </c>
      <c r="F311" s="22">
        <v>201.50899999999999</v>
      </c>
      <c r="G311" s="22">
        <f t="shared" si="45"/>
        <v>0</v>
      </c>
      <c r="J311" s="2"/>
      <c r="K311" s="2"/>
    </row>
    <row r="312" spans="1:13" x14ac:dyDescent="0.25">
      <c r="A312" s="101" t="s">
        <v>51</v>
      </c>
      <c r="B312" s="102"/>
      <c r="C312" s="26">
        <v>20242418</v>
      </c>
      <c r="D312" s="26">
        <v>56.4</v>
      </c>
      <c r="E312" s="22">
        <v>214.78100000000001</v>
      </c>
      <c r="F312" s="22">
        <v>215.54400000000001</v>
      </c>
      <c r="G312" s="22">
        <f t="shared" si="45"/>
        <v>0.65602740000000448</v>
      </c>
      <c r="J312" s="2"/>
      <c r="K312" s="2"/>
    </row>
    <row r="313" spans="1:13" x14ac:dyDescent="0.25">
      <c r="C313" s="18"/>
      <c r="D313" s="26">
        <f>SUM(D298:D312)</f>
        <v>1397.2</v>
      </c>
      <c r="E313" s="23">
        <f>SUM(E298:E312)</f>
        <v>1650.45</v>
      </c>
      <c r="F313" s="23">
        <f>SUM(F298:F312)</f>
        <v>1652.2650000000003</v>
      </c>
      <c r="G313" s="23">
        <f>SUM(G298:G312)</f>
        <v>1.5605370000000225</v>
      </c>
      <c r="J313" s="2"/>
      <c r="K313" s="2"/>
    </row>
    <row r="314" spans="1:13" x14ac:dyDescent="0.25">
      <c r="A314" s="103"/>
      <c r="B314" s="103"/>
      <c r="C314" s="103"/>
      <c r="D314" s="103"/>
      <c r="E314" s="103"/>
      <c r="F314" s="103"/>
      <c r="G314" s="103"/>
      <c r="J314" s="2"/>
      <c r="K314" s="2"/>
      <c r="M314" s="62"/>
    </row>
    <row r="315" spans="1:13" x14ac:dyDescent="0.25">
      <c r="A315" s="104" t="s">
        <v>14</v>
      </c>
      <c r="G315" s="103"/>
      <c r="J315" s="2"/>
      <c r="K315" s="2"/>
      <c r="M315" s="62"/>
    </row>
    <row r="316" spans="1:13" x14ac:dyDescent="0.25">
      <c r="A316" s="103"/>
      <c r="F316" s="103"/>
      <c r="J316" s="2"/>
      <c r="K316" s="2"/>
      <c r="L316" s="62"/>
      <c r="M316" s="62"/>
    </row>
    <row r="317" spans="1:13" x14ac:dyDescent="0.25">
      <c r="J317" s="2"/>
      <c r="K317" s="2"/>
      <c r="L317" s="62"/>
      <c r="M317" s="62"/>
    </row>
  </sheetData>
  <mergeCells count="80">
    <mergeCell ref="B12:D12"/>
    <mergeCell ref="F12:H12"/>
    <mergeCell ref="A1:M1"/>
    <mergeCell ref="A3:M3"/>
    <mergeCell ref="A4:M4"/>
    <mergeCell ref="A6:J6"/>
    <mergeCell ref="M6:M10"/>
    <mergeCell ref="A7:E7"/>
    <mergeCell ref="F7:H7"/>
    <mergeCell ref="A8:E8"/>
    <mergeCell ref="F8:H8"/>
    <mergeCell ref="A9:A14"/>
    <mergeCell ref="B9:E10"/>
    <mergeCell ref="F9:H9"/>
    <mergeCell ref="F10:H10"/>
    <mergeCell ref="B11:D11"/>
    <mergeCell ref="F11:J11"/>
    <mergeCell ref="B19:D19"/>
    <mergeCell ref="F19:H19"/>
    <mergeCell ref="B20:D20"/>
    <mergeCell ref="F20:H20"/>
    <mergeCell ref="B13:D13"/>
    <mergeCell ref="F13:H13"/>
    <mergeCell ref="B14:D14"/>
    <mergeCell ref="F14:H14"/>
    <mergeCell ref="A15:E15"/>
    <mergeCell ref="F15:H15"/>
    <mergeCell ref="B21:D21"/>
    <mergeCell ref="F21:H21"/>
    <mergeCell ref="A22:E22"/>
    <mergeCell ref="F22:H22"/>
    <mergeCell ref="A23:A28"/>
    <mergeCell ref="B23:E24"/>
    <mergeCell ref="F23:H23"/>
    <mergeCell ref="F24:H24"/>
    <mergeCell ref="B25:D25"/>
    <mergeCell ref="F25:J25"/>
    <mergeCell ref="A16:A21"/>
    <mergeCell ref="B16:E17"/>
    <mergeCell ref="F16:H16"/>
    <mergeCell ref="F17:H17"/>
    <mergeCell ref="B18:D18"/>
    <mergeCell ref="F18:J18"/>
    <mergeCell ref="B26:D26"/>
    <mergeCell ref="F26:H26"/>
    <mergeCell ref="B27:D27"/>
    <mergeCell ref="F27:H27"/>
    <mergeCell ref="B28:D28"/>
    <mergeCell ref="F28:H28"/>
    <mergeCell ref="J36:J37"/>
    <mergeCell ref="F37:H37"/>
    <mergeCell ref="A29:E29"/>
    <mergeCell ref="F29:H29"/>
    <mergeCell ref="A30:A35"/>
    <mergeCell ref="B30:E31"/>
    <mergeCell ref="F30:H30"/>
    <mergeCell ref="F31:H31"/>
    <mergeCell ref="B32:D32"/>
    <mergeCell ref="F32:J32"/>
    <mergeCell ref="B33:D33"/>
    <mergeCell ref="F33:H33"/>
    <mergeCell ref="B34:D34"/>
    <mergeCell ref="F34:H34"/>
    <mergeCell ref="B35:D35"/>
    <mergeCell ref="F35:H35"/>
    <mergeCell ref="F36:H36"/>
    <mergeCell ref="A296:A297"/>
    <mergeCell ref="C296:C297"/>
    <mergeCell ref="D296:D297"/>
    <mergeCell ref="F38:H38"/>
    <mergeCell ref="F39:H39"/>
    <mergeCell ref="A116:C116"/>
    <mergeCell ref="E116:G116"/>
    <mergeCell ref="A173:C173"/>
    <mergeCell ref="E173:G173"/>
    <mergeCell ref="A226:C226"/>
    <mergeCell ref="E226:G226"/>
    <mergeCell ref="A292:C292"/>
    <mergeCell ref="E292:G292"/>
    <mergeCell ref="A293:C293"/>
  </mergeCells>
  <pageMargins left="0.78740157480314965" right="0" top="0" bottom="0" header="0.31496062992125984" footer="0.31496062992125984"/>
  <pageSetup paperSize="9" scale="1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7"/>
  <sheetViews>
    <sheetView topLeftCell="A302" zoomScaleNormal="100" workbookViewId="0">
      <selection activeCell="J46" sqref="J46"/>
    </sheetView>
  </sheetViews>
  <sheetFormatPr defaultRowHeight="15" x14ac:dyDescent="0.25"/>
  <cols>
    <col min="1" max="1" width="6.42578125" style="2" customWidth="1"/>
    <col min="2" max="2" width="16" style="2" customWidth="1"/>
    <col min="3" max="3" width="15" style="2" customWidth="1"/>
    <col min="4" max="4" width="9.5703125" style="2" customWidth="1"/>
    <col min="5" max="5" width="10.5703125" style="2" customWidth="1"/>
    <col min="6" max="8" width="10.28515625" style="2" customWidth="1"/>
    <col min="9" max="9" width="12.28515625" style="2" customWidth="1"/>
    <col min="10" max="10" width="11.28515625" style="62" customWidth="1"/>
    <col min="11" max="11" width="9.42578125" style="62" customWidth="1"/>
    <col min="12" max="12" width="2.140625" style="2" customWidth="1"/>
    <col min="13" max="13" width="26" style="2" customWidth="1"/>
    <col min="14" max="14" width="9.5703125" style="184" bestFit="1" customWidth="1"/>
    <col min="15" max="15" width="9.140625" style="2"/>
    <col min="16" max="16" width="12.5703125" style="2" bestFit="1" customWidth="1"/>
    <col min="17" max="16384" width="9.140625" style="2"/>
  </cols>
  <sheetData>
    <row r="1" spans="1:13" ht="20.25" x14ac:dyDescent="0.3">
      <c r="A1" s="255" t="s">
        <v>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4.45" customHeight="1" x14ac:dyDescent="0.3">
      <c r="A2" s="161"/>
      <c r="B2" s="161"/>
      <c r="C2" s="161"/>
      <c r="D2" s="161"/>
      <c r="E2" s="161"/>
      <c r="F2" s="161"/>
      <c r="G2" s="161"/>
      <c r="H2" s="161"/>
      <c r="I2" s="161"/>
      <c r="J2" s="60"/>
      <c r="K2" s="60"/>
      <c r="L2" s="161"/>
      <c r="M2" s="161"/>
    </row>
    <row r="3" spans="1:13" ht="18.75" x14ac:dyDescent="0.25">
      <c r="A3" s="256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8.75" x14ac:dyDescent="0.25">
      <c r="A4" s="256" t="s">
        <v>154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ht="17.4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ht="16.149999999999999" customHeight="1" x14ac:dyDescent="0.25">
      <c r="A6" s="237" t="s">
        <v>8</v>
      </c>
      <c r="B6" s="238"/>
      <c r="C6" s="238"/>
      <c r="D6" s="238"/>
      <c r="E6" s="238"/>
      <c r="F6" s="238"/>
      <c r="G6" s="238"/>
      <c r="H6" s="238"/>
      <c r="I6" s="238"/>
      <c r="J6" s="239"/>
      <c r="K6" s="160"/>
      <c r="L6" s="75" t="s">
        <v>10</v>
      </c>
      <c r="M6" s="211" t="s">
        <v>11</v>
      </c>
    </row>
    <row r="7" spans="1:13" ht="37.9" customHeight="1" thickBot="1" x14ac:dyDescent="0.3">
      <c r="A7" s="258" t="s">
        <v>4</v>
      </c>
      <c r="B7" s="258"/>
      <c r="C7" s="258"/>
      <c r="D7" s="258"/>
      <c r="E7" s="258"/>
      <c r="F7" s="244" t="s">
        <v>5</v>
      </c>
      <c r="G7" s="245"/>
      <c r="H7" s="245"/>
      <c r="I7" s="54"/>
      <c r="J7" s="152" t="s">
        <v>155</v>
      </c>
      <c r="K7" s="106"/>
      <c r="L7" s="75"/>
      <c r="M7" s="257"/>
    </row>
    <row r="8" spans="1:13" ht="27" customHeight="1" thickBot="1" x14ac:dyDescent="0.3">
      <c r="A8" s="259" t="s">
        <v>29</v>
      </c>
      <c r="B8" s="260"/>
      <c r="C8" s="261"/>
      <c r="D8" s="261"/>
      <c r="E8" s="261"/>
      <c r="F8" s="262" t="s">
        <v>63</v>
      </c>
      <c r="G8" s="263"/>
      <c r="H8" s="264"/>
      <c r="I8" s="164"/>
      <c r="J8" s="50">
        <v>36.942</v>
      </c>
      <c r="K8" s="76"/>
      <c r="L8" s="75"/>
      <c r="M8" s="257"/>
    </row>
    <row r="9" spans="1:13" ht="13.9" customHeight="1" x14ac:dyDescent="0.25">
      <c r="A9" s="247"/>
      <c r="B9" s="262" t="s">
        <v>64</v>
      </c>
      <c r="C9" s="263"/>
      <c r="D9" s="263"/>
      <c r="E9" s="264"/>
      <c r="F9" s="268" t="s">
        <v>16</v>
      </c>
      <c r="G9" s="269"/>
      <c r="H9" s="270"/>
      <c r="I9" s="165"/>
      <c r="J9" s="43">
        <f>J13+J12+J14</f>
        <v>41.370415485714268</v>
      </c>
      <c r="K9" s="77"/>
      <c r="L9" s="75"/>
      <c r="M9" s="257"/>
    </row>
    <row r="10" spans="1:13" ht="13.9" customHeight="1" x14ac:dyDescent="0.25">
      <c r="A10" s="229"/>
      <c r="B10" s="265"/>
      <c r="C10" s="266"/>
      <c r="D10" s="266"/>
      <c r="E10" s="267"/>
      <c r="F10" s="237" t="s">
        <v>18</v>
      </c>
      <c r="G10" s="238"/>
      <c r="H10" s="239"/>
      <c r="I10" s="157"/>
      <c r="J10" s="31">
        <f>J8-J13-J12-J14</f>
        <v>-4.4284154857142681</v>
      </c>
      <c r="K10" s="77"/>
      <c r="L10" s="75"/>
      <c r="M10" s="212"/>
    </row>
    <row r="11" spans="1:13" ht="13.9" customHeight="1" x14ac:dyDescent="0.25">
      <c r="A11" s="229"/>
      <c r="B11" s="240" t="s">
        <v>65</v>
      </c>
      <c r="C11" s="241"/>
      <c r="D11" s="241"/>
      <c r="E11" s="55">
        <f>D116</f>
        <v>5338.7000000000025</v>
      </c>
      <c r="F11" s="234"/>
      <c r="G11" s="235"/>
      <c r="H11" s="235"/>
      <c r="I11" s="235"/>
      <c r="J11" s="236"/>
      <c r="K11" s="77"/>
      <c r="L11" s="75"/>
      <c r="M11" s="41"/>
    </row>
    <row r="12" spans="1:13" ht="25.5" customHeight="1" x14ac:dyDescent="0.25">
      <c r="A12" s="229"/>
      <c r="B12" s="240" t="s">
        <v>67</v>
      </c>
      <c r="C12" s="241"/>
      <c r="D12" s="271"/>
      <c r="E12" s="56">
        <f>SUM(D45,D49,D54,D56,D62,D69,D72,D77,D80,D86,D92:D93,D96,D98,D106,D112:D113)</f>
        <v>1166.4999999999998</v>
      </c>
      <c r="F12" s="237" t="s">
        <v>83</v>
      </c>
      <c r="G12" s="238"/>
      <c r="H12" s="239"/>
      <c r="I12" s="156"/>
      <c r="J12" s="7">
        <f>I116</f>
        <v>29.995714285714286</v>
      </c>
      <c r="K12" s="77"/>
      <c r="L12" s="75"/>
      <c r="M12" s="44"/>
    </row>
    <row r="13" spans="1:13" ht="25.5" customHeight="1" x14ac:dyDescent="0.25">
      <c r="A13" s="229"/>
      <c r="B13" s="240" t="s">
        <v>84</v>
      </c>
      <c r="C13" s="241"/>
      <c r="D13" s="241"/>
      <c r="E13" s="56">
        <f>SUM(D42:D44,D46:D48,D50:D53,D55,D57:D61,D63:D68,D70:D71,D73:D76,D78:D79,D81:D85,D87:D91,D94:D95,D97,D99:D105,D107:D111,D114:D115)</f>
        <v>4172.2000000000016</v>
      </c>
      <c r="F13" s="237" t="s">
        <v>66</v>
      </c>
      <c r="G13" s="238"/>
      <c r="H13" s="239"/>
      <c r="I13" s="157"/>
      <c r="J13" s="7">
        <f>H116</f>
        <v>11.374701199999983</v>
      </c>
      <c r="K13" s="77"/>
      <c r="L13" s="75"/>
      <c r="M13" s="41"/>
    </row>
    <row r="14" spans="1:13" ht="25.5" customHeight="1" thickBot="1" x14ac:dyDescent="0.3">
      <c r="A14" s="230"/>
      <c r="B14" s="242" t="s">
        <v>85</v>
      </c>
      <c r="C14" s="243"/>
      <c r="D14" s="243"/>
      <c r="E14" s="57">
        <v>0</v>
      </c>
      <c r="F14" s="244" t="s">
        <v>86</v>
      </c>
      <c r="G14" s="245"/>
      <c r="H14" s="246"/>
      <c r="I14" s="158"/>
      <c r="J14" s="46">
        <v>0</v>
      </c>
      <c r="K14" s="77"/>
      <c r="L14" s="75"/>
      <c r="M14" s="41"/>
    </row>
    <row r="15" spans="1:13" ht="27.75" customHeight="1" thickBot="1" x14ac:dyDescent="0.3">
      <c r="A15" s="249" t="s">
        <v>90</v>
      </c>
      <c r="B15" s="250"/>
      <c r="C15" s="251"/>
      <c r="D15" s="251"/>
      <c r="E15" s="251"/>
      <c r="F15" s="252" t="s">
        <v>68</v>
      </c>
      <c r="G15" s="253"/>
      <c r="H15" s="254"/>
      <c r="I15" s="160"/>
      <c r="J15" s="153">
        <v>21.353000000000002</v>
      </c>
      <c r="K15" s="78"/>
      <c r="L15" s="75"/>
      <c r="M15" s="14"/>
    </row>
    <row r="16" spans="1:13" ht="13.9" customHeight="1" x14ac:dyDescent="0.25">
      <c r="A16" s="247"/>
      <c r="B16" s="248" t="s">
        <v>64</v>
      </c>
      <c r="C16" s="248"/>
      <c r="D16" s="248"/>
      <c r="E16" s="248"/>
      <c r="F16" s="248" t="s">
        <v>17</v>
      </c>
      <c r="G16" s="248"/>
      <c r="H16" s="248"/>
      <c r="I16" s="159"/>
      <c r="J16" s="43">
        <f>J20+J19+J21</f>
        <v>26.552431171428573</v>
      </c>
      <c r="K16" s="77"/>
      <c r="L16" s="75"/>
      <c r="M16" s="14" t="s">
        <v>52</v>
      </c>
    </row>
    <row r="17" spans="1:13" ht="13.9" customHeight="1" x14ac:dyDescent="0.25">
      <c r="A17" s="229"/>
      <c r="B17" s="232"/>
      <c r="C17" s="232"/>
      <c r="D17" s="232"/>
      <c r="E17" s="232"/>
      <c r="F17" s="232" t="s">
        <v>19</v>
      </c>
      <c r="G17" s="232"/>
      <c r="H17" s="232"/>
      <c r="I17" s="156"/>
      <c r="J17" s="31">
        <f>J15-J20-J19-J21</f>
        <v>-5.1994311714285715</v>
      </c>
      <c r="K17" s="77"/>
      <c r="L17" s="75"/>
      <c r="M17" s="14" t="s">
        <v>32</v>
      </c>
    </row>
    <row r="18" spans="1:13" ht="13.9" customHeight="1" x14ac:dyDescent="0.25">
      <c r="A18" s="229"/>
      <c r="B18" s="233" t="s">
        <v>65</v>
      </c>
      <c r="C18" s="233"/>
      <c r="D18" s="233"/>
      <c r="E18" s="55">
        <f>D173</f>
        <v>3918.9999999999991</v>
      </c>
      <c r="F18" s="234"/>
      <c r="G18" s="235"/>
      <c r="H18" s="235"/>
      <c r="I18" s="235"/>
      <c r="J18" s="236"/>
      <c r="K18" s="77"/>
      <c r="L18" s="75"/>
      <c r="M18" s="14"/>
    </row>
    <row r="19" spans="1:13" ht="29.25" customHeight="1" x14ac:dyDescent="0.25">
      <c r="A19" s="229"/>
      <c r="B19" s="233" t="s">
        <v>67</v>
      </c>
      <c r="C19" s="233"/>
      <c r="D19" s="233"/>
      <c r="E19" s="56">
        <f>SUM(D122,D126:D127,D132,D137,D147,D149,D163:D164,D169)</f>
        <v>706.2</v>
      </c>
      <c r="F19" s="237" t="s">
        <v>83</v>
      </c>
      <c r="G19" s="238"/>
      <c r="H19" s="239"/>
      <c r="I19" s="156"/>
      <c r="J19" s="7">
        <f>I173</f>
        <v>18.159428571428574</v>
      </c>
      <c r="K19" s="77"/>
      <c r="L19" s="75"/>
      <c r="M19" s="14"/>
    </row>
    <row r="20" spans="1:13" ht="29.25" customHeight="1" x14ac:dyDescent="0.25">
      <c r="A20" s="229"/>
      <c r="B20" s="240" t="s">
        <v>84</v>
      </c>
      <c r="C20" s="241"/>
      <c r="D20" s="241"/>
      <c r="E20" s="56">
        <f>SUM(D117:D121,D123:D125,D128:D131,D133:D136,D138:D146,D148,D150:D157,D158:D162,D165:D168,D170:D172)</f>
        <v>3212.7999999999997</v>
      </c>
      <c r="F20" s="232" t="s">
        <v>66</v>
      </c>
      <c r="G20" s="232"/>
      <c r="H20" s="232"/>
      <c r="I20" s="156"/>
      <c r="J20" s="7">
        <f>H173</f>
        <v>8.3930025999999991</v>
      </c>
      <c r="K20" s="77"/>
      <c r="L20" s="75"/>
      <c r="M20" s="14"/>
    </row>
    <row r="21" spans="1:13" ht="29.25" customHeight="1" thickBot="1" x14ac:dyDescent="0.3">
      <c r="A21" s="230"/>
      <c r="B21" s="242" t="s">
        <v>85</v>
      </c>
      <c r="C21" s="243"/>
      <c r="D21" s="243"/>
      <c r="E21" s="57">
        <v>0</v>
      </c>
      <c r="F21" s="244" t="s">
        <v>86</v>
      </c>
      <c r="G21" s="245"/>
      <c r="H21" s="246"/>
      <c r="I21" s="158"/>
      <c r="J21" s="46">
        <v>0</v>
      </c>
      <c r="K21" s="77"/>
      <c r="L21" s="75"/>
      <c r="M21" s="14"/>
    </row>
    <row r="22" spans="1:13" ht="24.75" customHeight="1" thickBot="1" x14ac:dyDescent="0.3">
      <c r="A22" s="226" t="s">
        <v>30</v>
      </c>
      <c r="B22" s="227"/>
      <c r="C22" s="227"/>
      <c r="D22" s="227"/>
      <c r="E22" s="227"/>
      <c r="F22" s="228" t="s">
        <v>20</v>
      </c>
      <c r="G22" s="228"/>
      <c r="H22" s="228"/>
      <c r="I22" s="154"/>
      <c r="J22" s="51">
        <v>18.084</v>
      </c>
      <c r="K22" s="78"/>
      <c r="L22" s="75"/>
      <c r="M22" s="11"/>
    </row>
    <row r="23" spans="1:13" ht="13.9" customHeight="1" x14ac:dyDescent="0.25">
      <c r="A23" s="247"/>
      <c r="B23" s="248" t="s">
        <v>64</v>
      </c>
      <c r="C23" s="248"/>
      <c r="D23" s="248"/>
      <c r="E23" s="248"/>
      <c r="F23" s="248" t="s">
        <v>21</v>
      </c>
      <c r="G23" s="248"/>
      <c r="H23" s="248"/>
      <c r="I23" s="159"/>
      <c r="J23" s="43">
        <f>J27+J26+J28</f>
        <v>20.502060200000006</v>
      </c>
      <c r="K23" s="77"/>
      <c r="L23" s="75"/>
      <c r="M23" s="3"/>
    </row>
    <row r="24" spans="1:13" ht="13.9" customHeight="1" x14ac:dyDescent="0.25">
      <c r="A24" s="229"/>
      <c r="B24" s="232"/>
      <c r="C24" s="232"/>
      <c r="D24" s="232"/>
      <c r="E24" s="232"/>
      <c r="F24" s="232" t="s">
        <v>22</v>
      </c>
      <c r="G24" s="232"/>
      <c r="H24" s="232"/>
      <c r="I24" s="156"/>
      <c r="J24" s="31">
        <f>J22-J27-J26-J28</f>
        <v>-2.4180602000000064</v>
      </c>
      <c r="K24" s="77"/>
      <c r="L24" s="75"/>
      <c r="M24" s="3"/>
    </row>
    <row r="25" spans="1:13" ht="13.9" customHeight="1" x14ac:dyDescent="0.25">
      <c r="A25" s="229"/>
      <c r="B25" s="233" t="s">
        <v>65</v>
      </c>
      <c r="C25" s="233"/>
      <c r="D25" s="233"/>
      <c r="E25" s="55">
        <f>D226</f>
        <v>3672.6000000000013</v>
      </c>
      <c r="F25" s="234"/>
      <c r="G25" s="235"/>
      <c r="H25" s="235"/>
      <c r="I25" s="235"/>
      <c r="J25" s="236"/>
      <c r="K25" s="77"/>
      <c r="L25" s="75"/>
      <c r="M25" s="3"/>
    </row>
    <row r="26" spans="1:13" ht="27.75" customHeight="1" x14ac:dyDescent="0.25">
      <c r="A26" s="229"/>
      <c r="B26" s="233" t="s">
        <v>67</v>
      </c>
      <c r="C26" s="233"/>
      <c r="D26" s="233"/>
      <c r="E26" s="56">
        <f>SUM(D179,D187,D192,D210:D211,D216,D223:D224)</f>
        <v>480.2</v>
      </c>
      <c r="F26" s="237" t="s">
        <v>83</v>
      </c>
      <c r="G26" s="238"/>
      <c r="H26" s="239"/>
      <c r="I26" s="156"/>
      <c r="J26" s="7">
        <f>I226</f>
        <v>12.347999999999999</v>
      </c>
      <c r="K26" s="77"/>
      <c r="L26" s="75"/>
      <c r="M26" s="3"/>
    </row>
    <row r="27" spans="1:13" ht="27.75" customHeight="1" x14ac:dyDescent="0.25">
      <c r="A27" s="229"/>
      <c r="B27" s="240" t="s">
        <v>84</v>
      </c>
      <c r="C27" s="241"/>
      <c r="D27" s="241"/>
      <c r="E27" s="56">
        <f>SUM(D174:D178,D180:D186,D188:D191,D193:D209,D212:D215,D217:D222,D225)</f>
        <v>3192.4</v>
      </c>
      <c r="F27" s="232" t="s">
        <v>66</v>
      </c>
      <c r="G27" s="232"/>
      <c r="H27" s="232"/>
      <c r="I27" s="156"/>
      <c r="J27" s="7">
        <f>H226</f>
        <v>8.1540602000000071</v>
      </c>
      <c r="K27" s="77"/>
      <c r="L27" s="75"/>
      <c r="M27" s="3"/>
    </row>
    <row r="28" spans="1:13" ht="27.75" customHeight="1" thickBot="1" x14ac:dyDescent="0.3">
      <c r="A28" s="230"/>
      <c r="B28" s="242" t="s">
        <v>85</v>
      </c>
      <c r="C28" s="243"/>
      <c r="D28" s="243"/>
      <c r="E28" s="57">
        <v>0</v>
      </c>
      <c r="F28" s="244" t="s">
        <v>86</v>
      </c>
      <c r="G28" s="245"/>
      <c r="H28" s="246"/>
      <c r="I28" s="158"/>
      <c r="J28" s="46">
        <v>0</v>
      </c>
      <c r="K28" s="77"/>
      <c r="L28" s="75"/>
      <c r="M28" s="3"/>
    </row>
    <row r="29" spans="1:13" ht="25.5" customHeight="1" thickBot="1" x14ac:dyDescent="0.3">
      <c r="A29" s="226" t="s">
        <v>31</v>
      </c>
      <c r="B29" s="227"/>
      <c r="C29" s="227"/>
      <c r="D29" s="227"/>
      <c r="E29" s="227"/>
      <c r="F29" s="228" t="s">
        <v>23</v>
      </c>
      <c r="G29" s="228"/>
      <c r="H29" s="228"/>
      <c r="I29" s="154"/>
      <c r="J29" s="51">
        <v>33.066000000000003</v>
      </c>
      <c r="K29" s="78"/>
      <c r="L29" s="75"/>
      <c r="M29" s="3"/>
    </row>
    <row r="30" spans="1:13" ht="13.9" customHeight="1" x14ac:dyDescent="0.25">
      <c r="A30" s="229"/>
      <c r="B30" s="231" t="s">
        <v>64</v>
      </c>
      <c r="C30" s="231"/>
      <c r="D30" s="231"/>
      <c r="E30" s="231"/>
      <c r="F30" s="231" t="s">
        <v>24</v>
      </c>
      <c r="G30" s="231"/>
      <c r="H30" s="231"/>
      <c r="I30" s="155"/>
      <c r="J30" s="45">
        <f>J34+J33+J35</f>
        <v>50.056723971428553</v>
      </c>
      <c r="K30" s="77"/>
      <c r="L30" s="75"/>
      <c r="M30" s="3"/>
    </row>
    <row r="31" spans="1:13" ht="13.9" customHeight="1" x14ac:dyDescent="0.25">
      <c r="A31" s="229"/>
      <c r="B31" s="232"/>
      <c r="C31" s="232"/>
      <c r="D31" s="232"/>
      <c r="E31" s="232"/>
      <c r="F31" s="232" t="s">
        <v>25</v>
      </c>
      <c r="G31" s="232"/>
      <c r="H31" s="232"/>
      <c r="I31" s="156"/>
      <c r="J31" s="31">
        <f>J29-J34-J33-J35</f>
        <v>-16.990723971428551</v>
      </c>
      <c r="K31" s="77"/>
      <c r="L31" s="75"/>
      <c r="M31" s="3"/>
    </row>
    <row r="32" spans="1:13" ht="13.9" customHeight="1" x14ac:dyDescent="0.25">
      <c r="A32" s="229"/>
      <c r="B32" s="233" t="s">
        <v>65</v>
      </c>
      <c r="C32" s="233"/>
      <c r="D32" s="233"/>
      <c r="E32" s="55">
        <f>D292</f>
        <v>4660.1000000000022</v>
      </c>
      <c r="F32" s="234"/>
      <c r="G32" s="235"/>
      <c r="H32" s="235"/>
      <c r="I32" s="235"/>
      <c r="J32" s="236"/>
      <c r="K32" s="77"/>
      <c r="L32" s="75"/>
      <c r="M32" s="3"/>
    </row>
    <row r="33" spans="1:14" ht="26.25" customHeight="1" x14ac:dyDescent="0.25">
      <c r="A33" s="229"/>
      <c r="B33" s="233" t="s">
        <v>67</v>
      </c>
      <c r="C33" s="233"/>
      <c r="D33" s="233"/>
      <c r="E33" s="56">
        <f>SUM(D228:D229,D232,D238,D247:D248,D250:D251,D253,D258,D261,D263,D269:D270,D272,D275,D278,D280,D284:D286,D290)</f>
        <v>1448.1999999999998</v>
      </c>
      <c r="F33" s="237" t="s">
        <v>83</v>
      </c>
      <c r="G33" s="238"/>
      <c r="H33" s="239"/>
      <c r="I33" s="156"/>
      <c r="J33" s="7">
        <f>I292</f>
        <v>37.239428571428569</v>
      </c>
      <c r="K33" s="77"/>
      <c r="L33" s="75"/>
      <c r="M33" s="3"/>
    </row>
    <row r="34" spans="1:14" ht="26.25" customHeight="1" x14ac:dyDescent="0.25">
      <c r="A34" s="229"/>
      <c r="B34" s="240" t="s">
        <v>84</v>
      </c>
      <c r="C34" s="241"/>
      <c r="D34" s="241"/>
      <c r="E34" s="56">
        <f>SUM(D227,D230:D231,D233:D237,D239:D246,D249,D252,D254:D257,D259:D260,D262,D264:D268,D271,D273:D274,D276:D277,D279,D281:D283,D287:D289,D291)</f>
        <v>3211.9</v>
      </c>
      <c r="F34" s="232" t="s">
        <v>66</v>
      </c>
      <c r="G34" s="232"/>
      <c r="H34" s="232"/>
      <c r="I34" s="156"/>
      <c r="J34" s="7">
        <f>H292</f>
        <v>12.817295399999985</v>
      </c>
      <c r="K34" s="77"/>
      <c r="L34" s="75"/>
      <c r="M34" s="3"/>
    </row>
    <row r="35" spans="1:14" ht="26.25" customHeight="1" thickBot="1" x14ac:dyDescent="0.3">
      <c r="A35" s="230"/>
      <c r="B35" s="242" t="s">
        <v>85</v>
      </c>
      <c r="C35" s="243"/>
      <c r="D35" s="243"/>
      <c r="E35" s="57">
        <v>0</v>
      </c>
      <c r="F35" s="244" t="s">
        <v>86</v>
      </c>
      <c r="G35" s="245"/>
      <c r="H35" s="246"/>
      <c r="I35" s="158"/>
      <c r="J35" s="46">
        <v>0</v>
      </c>
      <c r="K35" s="77"/>
      <c r="L35" s="75"/>
      <c r="M35" s="3"/>
    </row>
    <row r="36" spans="1:14" ht="13.9" customHeight="1" x14ac:dyDescent="0.25">
      <c r="A36" s="79"/>
      <c r="B36" s="79"/>
      <c r="C36" s="79"/>
      <c r="D36" s="79"/>
      <c r="E36" s="79"/>
      <c r="F36" s="204" t="s">
        <v>26</v>
      </c>
      <c r="G36" s="205"/>
      <c r="H36" s="206"/>
      <c r="I36" s="160"/>
      <c r="J36" s="223">
        <f>J8+J15+J22+J29</f>
        <v>109.44500000000001</v>
      </c>
      <c r="K36" s="80"/>
      <c r="L36" s="75"/>
      <c r="M36" s="3"/>
    </row>
    <row r="37" spans="1:14" ht="13.9" customHeight="1" x14ac:dyDescent="0.25">
      <c r="A37" s="79"/>
      <c r="B37" s="79"/>
      <c r="C37" s="79"/>
      <c r="D37" s="79"/>
      <c r="E37" s="79"/>
      <c r="F37" s="224" t="s">
        <v>27</v>
      </c>
      <c r="G37" s="225"/>
      <c r="H37" s="214"/>
      <c r="I37" s="79"/>
      <c r="J37" s="223"/>
      <c r="K37" s="80"/>
      <c r="L37" s="75"/>
      <c r="M37" s="3"/>
    </row>
    <row r="38" spans="1:14" ht="13.9" customHeight="1" x14ac:dyDescent="0.25">
      <c r="A38" s="79"/>
      <c r="B38" s="79"/>
      <c r="C38" s="79"/>
      <c r="D38" s="79"/>
      <c r="E38" s="79"/>
      <c r="F38" s="213" t="s">
        <v>28</v>
      </c>
      <c r="G38" s="214"/>
      <c r="H38" s="215"/>
      <c r="I38" s="81"/>
      <c r="J38" s="31">
        <f>J9+J16+J23+J30</f>
        <v>138.48163082857138</v>
      </c>
      <c r="K38" s="77"/>
      <c r="L38" s="75"/>
      <c r="M38" s="3"/>
    </row>
    <row r="39" spans="1:14" ht="13.9" customHeight="1" thickBot="1" x14ac:dyDescent="0.3">
      <c r="A39" s="79"/>
      <c r="B39" s="79"/>
      <c r="C39" s="79"/>
      <c r="D39" s="79"/>
      <c r="E39" s="79"/>
      <c r="F39" s="216" t="s">
        <v>9</v>
      </c>
      <c r="G39" s="217"/>
      <c r="H39" s="218"/>
      <c r="I39" s="82"/>
      <c r="J39" s="61">
        <f>J10+J17+J24+J31</f>
        <v>-29.036630828571397</v>
      </c>
      <c r="K39" s="77"/>
      <c r="L39" s="75"/>
      <c r="M39" s="3"/>
    </row>
    <row r="40" spans="1:14" ht="14.45" customHeight="1" x14ac:dyDescent="0.25">
      <c r="M40" s="3"/>
    </row>
    <row r="41" spans="1:14" s="11" customFormat="1" ht="61.5" customHeight="1" x14ac:dyDescent="0.25">
      <c r="A41" s="83" t="s">
        <v>0</v>
      </c>
      <c r="B41" s="83" t="s">
        <v>55</v>
      </c>
      <c r="C41" s="84" t="s">
        <v>1</v>
      </c>
      <c r="D41" s="83" t="s">
        <v>2</v>
      </c>
      <c r="E41" s="85" t="s">
        <v>138</v>
      </c>
      <c r="F41" s="85" t="s">
        <v>156</v>
      </c>
      <c r="G41" s="85" t="s">
        <v>33</v>
      </c>
      <c r="H41" s="85" t="s">
        <v>12</v>
      </c>
      <c r="I41" s="86" t="s">
        <v>87</v>
      </c>
      <c r="J41" s="63" t="s">
        <v>6</v>
      </c>
      <c r="K41" s="87" t="s">
        <v>13</v>
      </c>
      <c r="L41" s="88"/>
      <c r="M41" s="13"/>
      <c r="N41" s="185"/>
    </row>
    <row r="42" spans="1:14" x14ac:dyDescent="0.25">
      <c r="A42" s="1">
        <v>1</v>
      </c>
      <c r="B42" s="1"/>
      <c r="C42" s="66">
        <v>43441363</v>
      </c>
      <c r="D42" s="156">
        <v>112.5</v>
      </c>
      <c r="E42" s="5">
        <v>88.518000000000001</v>
      </c>
      <c r="F42" s="5">
        <v>89.28</v>
      </c>
      <c r="G42" s="28">
        <f>F42-E42</f>
        <v>0.76200000000000045</v>
      </c>
      <c r="H42" s="16">
        <f>G42*0.8598</f>
        <v>0.65516760000000041</v>
      </c>
      <c r="I42" s="16"/>
      <c r="J42" s="16"/>
      <c r="K42" s="16">
        <f>H42+I42+J42</f>
        <v>0.65516760000000041</v>
      </c>
      <c r="M42" s="13" t="s">
        <v>69</v>
      </c>
    </row>
    <row r="43" spans="1:14" x14ac:dyDescent="0.25">
      <c r="A43" s="1">
        <v>2</v>
      </c>
      <c r="B43" s="47">
        <v>45915</v>
      </c>
      <c r="C43" s="66">
        <v>43242252</v>
      </c>
      <c r="D43" s="156">
        <v>58.7</v>
      </c>
      <c r="E43" s="5">
        <v>50.776000000000003</v>
      </c>
      <c r="F43" s="5">
        <v>51.021999999999998</v>
      </c>
      <c r="G43" s="5">
        <f>F43-E43</f>
        <v>0.24599999999999511</v>
      </c>
      <c r="H43" s="16">
        <f t="shared" ref="H43:H106" si="0">G43*0.8598</f>
        <v>0.21151079999999581</v>
      </c>
      <c r="I43" s="16"/>
      <c r="J43" s="16"/>
      <c r="K43" s="16">
        <f>H43+I43+J43</f>
        <v>0.21151079999999581</v>
      </c>
      <c r="M43" s="13" t="s">
        <v>69</v>
      </c>
    </row>
    <row r="44" spans="1:14" x14ac:dyDescent="0.25">
      <c r="A44" s="1">
        <v>3</v>
      </c>
      <c r="B44" s="52">
        <v>45686</v>
      </c>
      <c r="C44" s="10" t="s">
        <v>91</v>
      </c>
      <c r="D44" s="156">
        <v>50.5</v>
      </c>
      <c r="E44" s="39">
        <v>3.7519999999999998</v>
      </c>
      <c r="F44" s="39">
        <v>3.8439999999999999</v>
      </c>
      <c r="G44" s="5"/>
      <c r="H44" s="16">
        <f>F44-E44</f>
        <v>9.2000000000000082E-2</v>
      </c>
      <c r="I44" s="16"/>
      <c r="J44" s="16"/>
      <c r="K44" s="16">
        <f t="shared" ref="K44:K58" si="1">H44+I44+J44</f>
        <v>9.2000000000000082E-2</v>
      </c>
      <c r="M44" s="13" t="s">
        <v>69</v>
      </c>
    </row>
    <row r="45" spans="1:14" x14ac:dyDescent="0.25">
      <c r="A45" s="1">
        <v>4</v>
      </c>
      <c r="B45" s="34"/>
      <c r="C45" s="66">
        <v>43441362</v>
      </c>
      <c r="D45" s="156">
        <v>51.8</v>
      </c>
      <c r="E45" s="5">
        <v>35.923999999999999</v>
      </c>
      <c r="F45" s="5">
        <v>35.926000000000002</v>
      </c>
      <c r="G45" s="5"/>
      <c r="H45" s="16">
        <f t="shared" si="0"/>
        <v>0</v>
      </c>
      <c r="I45" s="16">
        <f>(((D45*0.015)*12)/7)</f>
        <v>1.3319999999999996</v>
      </c>
      <c r="J45" s="16">
        <f>D45/($E$11-$E$13)*$J$10</f>
        <v>-0.19664974038576843</v>
      </c>
      <c r="K45" s="16">
        <f t="shared" si="1"/>
        <v>1.1353502596142313</v>
      </c>
      <c r="M45" s="13" t="s">
        <v>71</v>
      </c>
    </row>
    <row r="46" spans="1:14" x14ac:dyDescent="0.25">
      <c r="A46" s="1">
        <v>5</v>
      </c>
      <c r="B46" s="47">
        <v>45598</v>
      </c>
      <c r="C46" s="66">
        <v>43242251</v>
      </c>
      <c r="D46" s="156">
        <v>52.9</v>
      </c>
      <c r="E46" s="5">
        <v>25.968</v>
      </c>
      <c r="F46" s="5">
        <v>26.451000000000001</v>
      </c>
      <c r="G46" s="5">
        <f>F46-E46</f>
        <v>0.48300000000000054</v>
      </c>
      <c r="H46" s="16">
        <f t="shared" si="0"/>
        <v>0.41528340000000047</v>
      </c>
      <c r="I46" s="16"/>
      <c r="J46" s="16"/>
      <c r="K46" s="16">
        <f t="shared" si="1"/>
        <v>0.41528340000000047</v>
      </c>
      <c r="M46" s="13" t="s">
        <v>69</v>
      </c>
    </row>
    <row r="47" spans="1:14" x14ac:dyDescent="0.25">
      <c r="A47" s="1">
        <v>6</v>
      </c>
      <c r="B47" s="47">
        <v>45453</v>
      </c>
      <c r="C47" s="10" t="s">
        <v>56</v>
      </c>
      <c r="D47" s="156">
        <v>99.6</v>
      </c>
      <c r="E47" s="39">
        <v>10.851000000000001</v>
      </c>
      <c r="F47" s="39">
        <v>10.903700000000001</v>
      </c>
      <c r="G47" s="39"/>
      <c r="H47" s="16">
        <f>F47-E47</f>
        <v>5.2699999999999747E-2</v>
      </c>
      <c r="I47" s="16"/>
      <c r="J47" s="16"/>
      <c r="K47" s="16">
        <f t="shared" si="1"/>
        <v>5.2699999999999747E-2</v>
      </c>
      <c r="M47" s="13" t="s">
        <v>69</v>
      </c>
    </row>
    <row r="48" spans="1:14" x14ac:dyDescent="0.25">
      <c r="A48" s="1">
        <v>7</v>
      </c>
      <c r="B48" s="47">
        <v>45594</v>
      </c>
      <c r="C48" s="10" t="s">
        <v>70</v>
      </c>
      <c r="D48" s="156">
        <v>112.6</v>
      </c>
      <c r="E48" s="39">
        <v>13.814</v>
      </c>
      <c r="F48" s="39">
        <v>14.276999999999999</v>
      </c>
      <c r="G48" s="39"/>
      <c r="H48" s="16">
        <f>F48-E48</f>
        <v>0.46299999999999919</v>
      </c>
      <c r="I48" s="16"/>
      <c r="J48" s="16"/>
      <c r="K48" s="16">
        <f t="shared" si="1"/>
        <v>0.46299999999999919</v>
      </c>
      <c r="M48" s="13" t="s">
        <v>69</v>
      </c>
    </row>
    <row r="49" spans="1:13" x14ac:dyDescent="0.25">
      <c r="A49" s="1">
        <v>8</v>
      </c>
      <c r="B49" s="34"/>
      <c r="C49" s="66">
        <v>43441368</v>
      </c>
      <c r="D49" s="156">
        <v>62.5</v>
      </c>
      <c r="E49" s="5">
        <v>18.164999999999999</v>
      </c>
      <c r="F49" s="5">
        <v>18.164999999999999</v>
      </c>
      <c r="G49" s="5"/>
      <c r="H49" s="16">
        <f t="shared" si="0"/>
        <v>0</v>
      </c>
      <c r="I49" s="16">
        <f>(((D49*0.015)*12)/7)</f>
        <v>1.6071428571428572</v>
      </c>
      <c r="J49" s="16">
        <f t="shared" ref="J49:J106" si="2">D49/($E$11-$E$13)*$J$10</f>
        <v>-0.23727043965464339</v>
      </c>
      <c r="K49" s="16">
        <f t="shared" si="1"/>
        <v>1.3698724174882138</v>
      </c>
      <c r="M49" s="13" t="s">
        <v>71</v>
      </c>
    </row>
    <row r="50" spans="1:13" x14ac:dyDescent="0.25">
      <c r="A50" s="1">
        <v>9</v>
      </c>
      <c r="B50" s="47">
        <v>46160</v>
      </c>
      <c r="C50" s="66">
        <v>43441366</v>
      </c>
      <c r="D50" s="156">
        <v>50.5</v>
      </c>
      <c r="E50" s="5">
        <v>44.551000000000002</v>
      </c>
      <c r="F50" s="5">
        <v>44.904000000000003</v>
      </c>
      <c r="G50" s="5">
        <f>F50-E50</f>
        <v>0.35300000000000153</v>
      </c>
      <c r="H50" s="16">
        <f t="shared" si="0"/>
        <v>0.30350940000000132</v>
      </c>
      <c r="I50" s="16"/>
      <c r="J50" s="16"/>
      <c r="K50" s="16">
        <f t="shared" si="1"/>
        <v>0.30350940000000132</v>
      </c>
      <c r="M50" s="13" t="s">
        <v>69</v>
      </c>
    </row>
    <row r="51" spans="1:13" x14ac:dyDescent="0.25">
      <c r="A51" s="1">
        <v>10</v>
      </c>
      <c r="B51" s="47">
        <v>45746</v>
      </c>
      <c r="C51" s="66">
        <v>43441367</v>
      </c>
      <c r="D51" s="156">
        <v>52.3</v>
      </c>
      <c r="E51" s="5">
        <v>14.957000000000001</v>
      </c>
      <c r="F51" s="5">
        <v>14.957000000000001</v>
      </c>
      <c r="G51" s="5">
        <f>F51-E51</f>
        <v>0</v>
      </c>
      <c r="H51" s="16">
        <f t="shared" si="0"/>
        <v>0</v>
      </c>
      <c r="I51" s="16"/>
      <c r="J51" s="16"/>
      <c r="K51" s="16">
        <f t="shared" si="1"/>
        <v>0</v>
      </c>
      <c r="M51" s="13" t="s">
        <v>69</v>
      </c>
    </row>
    <row r="52" spans="1:13" x14ac:dyDescent="0.25">
      <c r="A52" s="1">
        <v>11</v>
      </c>
      <c r="B52" s="47">
        <v>46262</v>
      </c>
      <c r="C52" s="66" t="s">
        <v>139</v>
      </c>
      <c r="D52" s="156">
        <v>53</v>
      </c>
      <c r="E52" s="5">
        <v>1.7000000000000001E-2</v>
      </c>
      <c r="F52" s="5">
        <v>0.10199999999999999</v>
      </c>
      <c r="G52" s="5"/>
      <c r="H52" s="16">
        <f>F52-E52</f>
        <v>8.4999999999999992E-2</v>
      </c>
      <c r="I52" s="16"/>
      <c r="J52" s="16"/>
      <c r="K52" s="16">
        <f t="shared" si="1"/>
        <v>8.4999999999999992E-2</v>
      </c>
      <c r="M52" s="13" t="s">
        <v>69</v>
      </c>
    </row>
    <row r="53" spans="1:13" x14ac:dyDescent="0.25">
      <c r="A53" s="1">
        <v>12</v>
      </c>
      <c r="B53" s="47">
        <v>45600</v>
      </c>
      <c r="C53" s="66">
        <v>43441365</v>
      </c>
      <c r="D53" s="156">
        <v>100.2</v>
      </c>
      <c r="E53" s="5">
        <v>57.048000000000002</v>
      </c>
      <c r="F53" s="5">
        <v>57.56</v>
      </c>
      <c r="G53" s="5">
        <f>F53-E53</f>
        <v>0.51200000000000045</v>
      </c>
      <c r="H53" s="16">
        <f>G53*0.8598</f>
        <v>0.44021760000000038</v>
      </c>
      <c r="I53" s="16"/>
      <c r="J53" s="16"/>
      <c r="K53" s="16">
        <f t="shared" si="1"/>
        <v>0.44021760000000038</v>
      </c>
      <c r="M53" s="13" t="s">
        <v>69</v>
      </c>
    </row>
    <row r="54" spans="1:13" x14ac:dyDescent="0.25">
      <c r="A54" s="1">
        <v>13</v>
      </c>
      <c r="B54" s="33"/>
      <c r="C54" s="67">
        <v>43441377</v>
      </c>
      <c r="D54" s="156">
        <v>112.4</v>
      </c>
      <c r="E54" s="5">
        <v>71.17</v>
      </c>
      <c r="F54" s="5">
        <v>72.105000000000004</v>
      </c>
      <c r="G54" s="5"/>
      <c r="H54" s="16">
        <f t="shared" si="0"/>
        <v>0</v>
      </c>
      <c r="I54" s="16">
        <f>(((D54*0.015)*12)/7)</f>
        <v>2.8902857142857141</v>
      </c>
      <c r="J54" s="16">
        <f t="shared" si="2"/>
        <v>-0.42670715867491071</v>
      </c>
      <c r="K54" s="16">
        <f t="shared" si="1"/>
        <v>2.4635785556108036</v>
      </c>
      <c r="M54" s="13" t="s">
        <v>71</v>
      </c>
    </row>
    <row r="55" spans="1:13" x14ac:dyDescent="0.25">
      <c r="A55" s="1">
        <v>14</v>
      </c>
      <c r="B55" s="47">
        <v>46854</v>
      </c>
      <c r="C55" s="10" t="s">
        <v>140</v>
      </c>
      <c r="D55" s="156">
        <v>63.8</v>
      </c>
      <c r="E55" s="39">
        <v>0.224</v>
      </c>
      <c r="F55" s="39">
        <v>1.2290000000000001</v>
      </c>
      <c r="G55" s="5"/>
      <c r="H55" s="16">
        <f>F55-E55</f>
        <v>1.0050000000000001</v>
      </c>
      <c r="I55" s="16"/>
      <c r="J55" s="16"/>
      <c r="K55" s="16">
        <f t="shared" si="1"/>
        <v>1.0050000000000001</v>
      </c>
      <c r="M55" s="13" t="s">
        <v>69</v>
      </c>
    </row>
    <row r="56" spans="1:13" x14ac:dyDescent="0.25">
      <c r="A56" s="1">
        <v>15</v>
      </c>
      <c r="B56" s="33"/>
      <c r="C56" s="66">
        <v>43441369</v>
      </c>
      <c r="D56" s="156">
        <v>50.9</v>
      </c>
      <c r="E56" s="5">
        <v>38.835999999999999</v>
      </c>
      <c r="F56" s="5">
        <v>39.6</v>
      </c>
      <c r="G56" s="5"/>
      <c r="H56" s="16">
        <f t="shared" si="0"/>
        <v>0</v>
      </c>
      <c r="I56" s="16">
        <f>(((D56*0.015)*12)/7)</f>
        <v>1.3088571428571427</v>
      </c>
      <c r="J56" s="16">
        <f t="shared" si="2"/>
        <v>-0.19323304605474159</v>
      </c>
      <c r="K56" s="16">
        <f t="shared" si="1"/>
        <v>1.1156240968024012</v>
      </c>
      <c r="M56" s="13" t="s">
        <v>71</v>
      </c>
    </row>
    <row r="57" spans="1:13" x14ac:dyDescent="0.25">
      <c r="A57" s="1">
        <v>16</v>
      </c>
      <c r="B57" s="47">
        <v>45900</v>
      </c>
      <c r="C57" s="66">
        <v>43441375</v>
      </c>
      <c r="D57" s="156">
        <v>52.4</v>
      </c>
      <c r="E57" s="5">
        <v>28.28</v>
      </c>
      <c r="F57" s="5">
        <v>28.28</v>
      </c>
      <c r="G57" s="5">
        <f>F57-E57</f>
        <v>0</v>
      </c>
      <c r="H57" s="16">
        <f t="shared" si="0"/>
        <v>0</v>
      </c>
      <c r="I57" s="16"/>
      <c r="J57" s="16"/>
      <c r="K57" s="16">
        <f t="shared" si="1"/>
        <v>0</v>
      </c>
      <c r="M57" s="13" t="s">
        <v>69</v>
      </c>
    </row>
    <row r="58" spans="1:13" x14ac:dyDescent="0.25">
      <c r="A58" s="1">
        <v>17</v>
      </c>
      <c r="B58" s="47">
        <v>45595</v>
      </c>
      <c r="C58" s="66">
        <v>43441376</v>
      </c>
      <c r="D58" s="156">
        <v>53.3</v>
      </c>
      <c r="E58" s="5">
        <v>51.616999999999997</v>
      </c>
      <c r="F58" s="5">
        <v>52.295999999999999</v>
      </c>
      <c r="G58" s="5">
        <f>F58-E58</f>
        <v>0.67900000000000205</v>
      </c>
      <c r="H58" s="16">
        <f>G58*0.8598</f>
        <v>0.58380420000000177</v>
      </c>
      <c r="I58" s="16"/>
      <c r="J58" s="16"/>
      <c r="K58" s="16">
        <f t="shared" si="1"/>
        <v>0.58380420000000177</v>
      </c>
      <c r="M58" s="13" t="s">
        <v>69</v>
      </c>
    </row>
    <row r="59" spans="1:13" ht="15.75" customHeight="1" x14ac:dyDescent="0.25">
      <c r="A59" s="1">
        <v>18</v>
      </c>
      <c r="B59" s="47">
        <v>45700</v>
      </c>
      <c r="C59" s="66">
        <v>43441361</v>
      </c>
      <c r="D59" s="156">
        <v>100.6</v>
      </c>
      <c r="E59" s="5">
        <v>5.0519999999999996</v>
      </c>
      <c r="F59" s="5">
        <v>5.0519999999999996</v>
      </c>
      <c r="G59" s="5">
        <f>F59-E59</f>
        <v>0</v>
      </c>
      <c r="H59" s="16">
        <f t="shared" si="0"/>
        <v>0</v>
      </c>
      <c r="I59" s="16"/>
      <c r="J59" s="16"/>
      <c r="K59" s="16">
        <f>H59+I59+J59</f>
        <v>0</v>
      </c>
      <c r="M59" s="13" t="s">
        <v>69</v>
      </c>
    </row>
    <row r="60" spans="1:13" x14ac:dyDescent="0.25">
      <c r="A60" s="1">
        <v>19</v>
      </c>
      <c r="B60" s="47">
        <v>45767</v>
      </c>
      <c r="C60" s="66">
        <v>43441266</v>
      </c>
      <c r="D60" s="156">
        <v>112.4</v>
      </c>
      <c r="E60" s="5">
        <v>47.314</v>
      </c>
      <c r="F60" s="5">
        <v>47.314</v>
      </c>
      <c r="G60" s="5">
        <f>F60-E60</f>
        <v>0</v>
      </c>
      <c r="H60" s="16">
        <f t="shared" si="0"/>
        <v>0</v>
      </c>
      <c r="I60" s="16"/>
      <c r="J60" s="16"/>
      <c r="K60" s="16">
        <f t="shared" ref="K60:K114" si="3">H60+I60+J60</f>
        <v>0</v>
      </c>
      <c r="M60" s="13" t="s">
        <v>69</v>
      </c>
    </row>
    <row r="61" spans="1:13" x14ac:dyDescent="0.25">
      <c r="A61" s="1">
        <v>20</v>
      </c>
      <c r="B61" s="47">
        <v>45955</v>
      </c>
      <c r="C61" s="66" t="s">
        <v>107</v>
      </c>
      <c r="D61" s="156">
        <v>63</v>
      </c>
      <c r="E61" s="39">
        <v>2.0880000000000001</v>
      </c>
      <c r="F61" s="39">
        <v>2.218</v>
      </c>
      <c r="G61" s="5"/>
      <c r="H61" s="16">
        <f>F61-E61</f>
        <v>0.12999999999999989</v>
      </c>
      <c r="I61" s="16"/>
      <c r="J61" s="16"/>
      <c r="K61" s="16">
        <f t="shared" si="3"/>
        <v>0.12999999999999989</v>
      </c>
      <c r="M61" s="13" t="s">
        <v>69</v>
      </c>
    </row>
    <row r="62" spans="1:13" x14ac:dyDescent="0.25">
      <c r="A62" s="1">
        <v>21</v>
      </c>
      <c r="B62" s="33"/>
      <c r="C62" s="66">
        <v>43441274</v>
      </c>
      <c r="D62" s="156">
        <v>50.5</v>
      </c>
      <c r="E62" s="5">
        <v>35.848999999999997</v>
      </c>
      <c r="F62" s="5">
        <v>36.743000000000002</v>
      </c>
      <c r="G62" s="5"/>
      <c r="H62" s="16">
        <f t="shared" si="0"/>
        <v>0</v>
      </c>
      <c r="I62" s="16">
        <f>(((D62*0.015)*12)/7)</f>
        <v>1.2985714285714285</v>
      </c>
      <c r="J62" s="16">
        <f t="shared" si="2"/>
        <v>-0.19171451524095187</v>
      </c>
      <c r="K62" s="16">
        <f t="shared" si="3"/>
        <v>1.1068569133304766</v>
      </c>
      <c r="M62" s="13" t="s">
        <v>71</v>
      </c>
    </row>
    <row r="63" spans="1:13" x14ac:dyDescent="0.25">
      <c r="A63" s="1">
        <v>22</v>
      </c>
      <c r="B63" s="48">
        <v>45734</v>
      </c>
      <c r="C63" s="66">
        <v>43441273</v>
      </c>
      <c r="D63" s="156">
        <v>52.4</v>
      </c>
      <c r="E63" s="5">
        <v>33.798999999999999</v>
      </c>
      <c r="F63" s="5">
        <v>34.070999999999998</v>
      </c>
      <c r="G63" s="5">
        <f t="shared" ref="G63:G68" si="4">F63-E63</f>
        <v>0.27199999999999847</v>
      </c>
      <c r="H63" s="16">
        <f t="shared" si="0"/>
        <v>0.23386559999999867</v>
      </c>
      <c r="I63" s="16"/>
      <c r="J63" s="16"/>
      <c r="K63" s="16">
        <f t="shared" si="3"/>
        <v>0.23386559999999867</v>
      </c>
      <c r="M63" s="13" t="s">
        <v>69</v>
      </c>
    </row>
    <row r="64" spans="1:13" x14ac:dyDescent="0.25">
      <c r="A64" s="1">
        <v>23</v>
      </c>
      <c r="B64" s="47">
        <v>45774</v>
      </c>
      <c r="C64" s="66">
        <v>43441371</v>
      </c>
      <c r="D64" s="156">
        <v>53.1</v>
      </c>
      <c r="E64" s="5">
        <v>12.099</v>
      </c>
      <c r="F64" s="5">
        <v>12.238</v>
      </c>
      <c r="G64" s="5">
        <f t="shared" si="4"/>
        <v>0.13899999999999935</v>
      </c>
      <c r="H64" s="16">
        <f t="shared" si="0"/>
        <v>0.11951219999999944</v>
      </c>
      <c r="I64" s="16"/>
      <c r="J64" s="16"/>
      <c r="K64" s="16">
        <f t="shared" si="3"/>
        <v>0.11951219999999944</v>
      </c>
      <c r="M64" s="13" t="s">
        <v>69</v>
      </c>
    </row>
    <row r="65" spans="1:13" x14ac:dyDescent="0.25">
      <c r="A65" s="1">
        <v>24</v>
      </c>
      <c r="B65" s="47">
        <v>46156</v>
      </c>
      <c r="C65" s="66" t="s">
        <v>141</v>
      </c>
      <c r="D65" s="156">
        <v>100.7</v>
      </c>
      <c r="E65" s="39">
        <v>0.11799999999999999</v>
      </c>
      <c r="F65" s="39">
        <v>0.57799999999999996</v>
      </c>
      <c r="G65" s="5"/>
      <c r="H65" s="16">
        <f>F65-E65</f>
        <v>0.45999999999999996</v>
      </c>
      <c r="I65" s="16"/>
      <c r="J65" s="16"/>
      <c r="K65" s="16">
        <f t="shared" si="3"/>
        <v>0.45999999999999996</v>
      </c>
      <c r="M65" s="13" t="s">
        <v>69</v>
      </c>
    </row>
    <row r="66" spans="1:13" x14ac:dyDescent="0.25">
      <c r="A66" s="1">
        <v>25</v>
      </c>
      <c r="B66" s="33" t="s">
        <v>100</v>
      </c>
      <c r="C66" s="66">
        <v>43441275</v>
      </c>
      <c r="D66" s="156">
        <v>112.5</v>
      </c>
      <c r="E66" s="5">
        <v>62.445999999999998</v>
      </c>
      <c r="F66" s="5">
        <v>63.601999999999997</v>
      </c>
      <c r="G66" s="5">
        <f t="shared" si="4"/>
        <v>1.1559999999999988</v>
      </c>
      <c r="H66" s="16">
        <f t="shared" si="0"/>
        <v>0.99392879999999895</v>
      </c>
      <c r="I66" s="16"/>
      <c r="J66" s="16"/>
      <c r="K66" s="16">
        <f t="shared" si="3"/>
        <v>0.99392879999999895</v>
      </c>
      <c r="M66" s="13" t="s">
        <v>69</v>
      </c>
    </row>
    <row r="67" spans="1:13" x14ac:dyDescent="0.25">
      <c r="A67" s="1">
        <v>26</v>
      </c>
      <c r="B67" s="47">
        <v>45803</v>
      </c>
      <c r="C67" s="66">
        <v>43441269</v>
      </c>
      <c r="D67" s="156">
        <v>62.5</v>
      </c>
      <c r="E67" s="5">
        <v>15.614000000000001</v>
      </c>
      <c r="F67" s="5">
        <v>15.614000000000001</v>
      </c>
      <c r="G67" s="5">
        <f t="shared" si="4"/>
        <v>0</v>
      </c>
      <c r="H67" s="16">
        <f t="shared" si="0"/>
        <v>0</v>
      </c>
      <c r="I67" s="16"/>
      <c r="J67" s="16"/>
      <c r="K67" s="16">
        <f t="shared" si="3"/>
        <v>0</v>
      </c>
      <c r="M67" s="13" t="s">
        <v>69</v>
      </c>
    </row>
    <row r="68" spans="1:13" x14ac:dyDescent="0.25">
      <c r="A68" s="1">
        <v>27</v>
      </c>
      <c r="B68" s="47">
        <v>45725</v>
      </c>
      <c r="C68" s="66">
        <v>43441270</v>
      </c>
      <c r="D68" s="156">
        <v>51.2</v>
      </c>
      <c r="E68" s="5">
        <v>1.2669999999999999</v>
      </c>
      <c r="F68" s="5">
        <v>1.2669999999999999</v>
      </c>
      <c r="G68" s="5">
        <f t="shared" si="4"/>
        <v>0</v>
      </c>
      <c r="H68" s="16">
        <f>G68*0.8598</f>
        <v>0</v>
      </c>
      <c r="I68" s="16"/>
      <c r="J68" s="16"/>
      <c r="K68" s="16">
        <f t="shared" si="3"/>
        <v>0</v>
      </c>
      <c r="M68" s="13" t="s">
        <v>69</v>
      </c>
    </row>
    <row r="69" spans="1:13" x14ac:dyDescent="0.25">
      <c r="A69" s="1">
        <v>28</v>
      </c>
      <c r="B69" s="33"/>
      <c r="C69" s="66">
        <v>43441264</v>
      </c>
      <c r="D69" s="156">
        <v>52.5</v>
      </c>
      <c r="E69" s="5">
        <v>24.629000000000001</v>
      </c>
      <c r="F69" s="5">
        <v>24.629000000000001</v>
      </c>
      <c r="G69" s="5"/>
      <c r="H69" s="16">
        <f t="shared" si="0"/>
        <v>0</v>
      </c>
      <c r="I69" s="16">
        <f>(((D69*0.015)*12)/7)</f>
        <v>1.3499999999999999</v>
      </c>
      <c r="J69" s="16">
        <f t="shared" si="2"/>
        <v>-0.19930716930990047</v>
      </c>
      <c r="K69" s="16">
        <f t="shared" si="3"/>
        <v>1.1506928306900994</v>
      </c>
      <c r="M69" s="13" t="s">
        <v>71</v>
      </c>
    </row>
    <row r="70" spans="1:13" x14ac:dyDescent="0.25">
      <c r="A70" s="1">
        <v>29</v>
      </c>
      <c r="B70" s="47">
        <v>45718</v>
      </c>
      <c r="C70" s="66">
        <v>43441272</v>
      </c>
      <c r="D70" s="156">
        <v>52.8</v>
      </c>
      <c r="E70" s="5">
        <v>23.34</v>
      </c>
      <c r="F70" s="5">
        <v>23.341999999999999</v>
      </c>
      <c r="G70" s="5">
        <f>F70-E70</f>
        <v>1.9999999999988916E-3</v>
      </c>
      <c r="H70" s="16">
        <f t="shared" si="0"/>
        <v>1.7195999999990469E-3</v>
      </c>
      <c r="I70" s="16"/>
      <c r="J70" s="16"/>
      <c r="K70" s="16">
        <f t="shared" si="3"/>
        <v>1.7195999999990469E-3</v>
      </c>
      <c r="M70" s="13" t="s">
        <v>69</v>
      </c>
    </row>
    <row r="71" spans="1:13" x14ac:dyDescent="0.25">
      <c r="A71" s="1">
        <v>30</v>
      </c>
      <c r="B71" s="48">
        <v>45734</v>
      </c>
      <c r="C71" s="66">
        <v>43441265</v>
      </c>
      <c r="D71" s="156">
        <v>101.4</v>
      </c>
      <c r="E71" s="5">
        <v>36.863</v>
      </c>
      <c r="F71" s="5">
        <v>36.863</v>
      </c>
      <c r="G71" s="5">
        <f>F71-E71</f>
        <v>0</v>
      </c>
      <c r="H71" s="16">
        <f t="shared" si="0"/>
        <v>0</v>
      </c>
      <c r="I71" s="16"/>
      <c r="J71" s="16"/>
      <c r="K71" s="16">
        <f t="shared" si="3"/>
        <v>0</v>
      </c>
      <c r="M71" s="13" t="s">
        <v>69</v>
      </c>
    </row>
    <row r="72" spans="1:13" x14ac:dyDescent="0.25">
      <c r="A72" s="1">
        <v>31</v>
      </c>
      <c r="B72" s="33"/>
      <c r="C72" s="66">
        <v>43441277</v>
      </c>
      <c r="D72" s="156">
        <v>112.5</v>
      </c>
      <c r="E72" s="5">
        <v>83.025000000000006</v>
      </c>
      <c r="F72" s="5">
        <v>84.135999999999996</v>
      </c>
      <c r="G72" s="5"/>
      <c r="H72" s="16">
        <f t="shared" si="0"/>
        <v>0</v>
      </c>
      <c r="I72" s="16">
        <f>(((D72*0.015)*12)/7)</f>
        <v>2.8928571428571428</v>
      </c>
      <c r="J72" s="16">
        <f t="shared" si="2"/>
        <v>-0.42708679137835814</v>
      </c>
      <c r="K72" s="16">
        <f t="shared" si="3"/>
        <v>2.4657703514787848</v>
      </c>
      <c r="M72" s="13" t="s">
        <v>71</v>
      </c>
    </row>
    <row r="73" spans="1:13" x14ac:dyDescent="0.25">
      <c r="A73" s="1">
        <v>32</v>
      </c>
      <c r="B73" s="47">
        <v>45923</v>
      </c>
      <c r="C73" s="66">
        <v>43441276</v>
      </c>
      <c r="D73" s="156">
        <v>63.1</v>
      </c>
      <c r="E73" s="5">
        <v>51.558999999999997</v>
      </c>
      <c r="F73" s="5">
        <v>51.744999999999997</v>
      </c>
      <c r="G73" s="5">
        <f>F73-E73</f>
        <v>0.18599999999999994</v>
      </c>
      <c r="H73" s="16">
        <f t="shared" si="0"/>
        <v>0.15992279999999995</v>
      </c>
      <c r="I73" s="16"/>
      <c r="J73" s="16"/>
      <c r="K73" s="16">
        <f t="shared" si="3"/>
        <v>0.15992279999999995</v>
      </c>
      <c r="M73" s="13" t="s">
        <v>69</v>
      </c>
    </row>
    <row r="74" spans="1:13" x14ac:dyDescent="0.25">
      <c r="A74" s="1">
        <v>33</v>
      </c>
      <c r="B74" s="47">
        <v>45865</v>
      </c>
      <c r="C74" s="66">
        <v>43441279</v>
      </c>
      <c r="D74" s="156">
        <v>50.9</v>
      </c>
      <c r="E74" s="5">
        <v>49.005000000000003</v>
      </c>
      <c r="F74" s="5">
        <v>49.293999999999997</v>
      </c>
      <c r="G74" s="5">
        <f>F74-E74</f>
        <v>0.28899999999999437</v>
      </c>
      <c r="H74" s="16">
        <f t="shared" si="0"/>
        <v>0.24848219999999516</v>
      </c>
      <c r="I74" s="16"/>
      <c r="J74" s="16"/>
      <c r="K74" s="16">
        <f t="shared" si="3"/>
        <v>0.24848219999999516</v>
      </c>
      <c r="M74" s="13" t="s">
        <v>69</v>
      </c>
    </row>
    <row r="75" spans="1:13" x14ac:dyDescent="0.25">
      <c r="A75" s="1">
        <v>34</v>
      </c>
      <c r="B75" s="47">
        <v>46279</v>
      </c>
      <c r="C75" s="66">
        <v>43441281</v>
      </c>
      <c r="D75" s="156">
        <v>52.2</v>
      </c>
      <c r="E75" s="5">
        <v>39.488999999999997</v>
      </c>
      <c r="F75" s="5">
        <v>39.488999999999997</v>
      </c>
      <c r="G75" s="5">
        <f>F75-E75</f>
        <v>0</v>
      </c>
      <c r="H75" s="16">
        <f t="shared" si="0"/>
        <v>0</v>
      </c>
      <c r="I75" s="16"/>
      <c r="J75" s="16"/>
      <c r="K75" s="16">
        <f t="shared" si="3"/>
        <v>0</v>
      </c>
      <c r="M75" s="13" t="s">
        <v>69</v>
      </c>
    </row>
    <row r="76" spans="1:13" x14ac:dyDescent="0.25">
      <c r="A76" s="1">
        <v>35</v>
      </c>
      <c r="B76" s="47">
        <v>46249</v>
      </c>
      <c r="C76" s="66">
        <v>43441282</v>
      </c>
      <c r="D76" s="156">
        <v>53</v>
      </c>
      <c r="E76" s="5">
        <v>42.304000000000002</v>
      </c>
      <c r="F76" s="5">
        <v>42.304000000000002</v>
      </c>
      <c r="G76" s="5">
        <f>F76-E76</f>
        <v>0</v>
      </c>
      <c r="H76" s="16">
        <f t="shared" si="0"/>
        <v>0</v>
      </c>
      <c r="I76" s="16"/>
      <c r="J76" s="16"/>
      <c r="K76" s="16">
        <f t="shared" si="3"/>
        <v>0</v>
      </c>
      <c r="M76" s="13" t="s">
        <v>69</v>
      </c>
    </row>
    <row r="77" spans="1:13" x14ac:dyDescent="0.25">
      <c r="A77" s="1">
        <v>36</v>
      </c>
      <c r="B77" s="33"/>
      <c r="C77" s="66">
        <v>43441280</v>
      </c>
      <c r="D77" s="156">
        <v>103.1</v>
      </c>
      <c r="E77" s="5">
        <v>70.42</v>
      </c>
      <c r="F77" s="5">
        <v>70.42</v>
      </c>
      <c r="G77" s="5"/>
      <c r="H77" s="16">
        <f t="shared" si="0"/>
        <v>0</v>
      </c>
      <c r="I77" s="16">
        <f>(((D77*0.015)*12)/7)</f>
        <v>2.6511428571428568</v>
      </c>
      <c r="J77" s="16">
        <f t="shared" si="2"/>
        <v>-0.39140131725429972</v>
      </c>
      <c r="K77" s="16">
        <f t="shared" si="3"/>
        <v>2.259741539888557</v>
      </c>
      <c r="M77" s="13" t="s">
        <v>71</v>
      </c>
    </row>
    <row r="78" spans="1:13" x14ac:dyDescent="0.25">
      <c r="A78" s="1">
        <v>37</v>
      </c>
      <c r="B78" s="47">
        <v>46651</v>
      </c>
      <c r="C78" s="10" t="s">
        <v>101</v>
      </c>
      <c r="D78" s="156">
        <v>112.4</v>
      </c>
      <c r="E78" s="39">
        <v>10.518000000000001</v>
      </c>
      <c r="F78" s="39">
        <v>10.518000000000001</v>
      </c>
      <c r="G78" s="5"/>
      <c r="H78" s="16">
        <f>F78-E78</f>
        <v>0</v>
      </c>
      <c r="I78" s="16"/>
      <c r="J78" s="16"/>
      <c r="K78" s="16">
        <f t="shared" si="3"/>
        <v>0</v>
      </c>
      <c r="M78" s="13" t="s">
        <v>69</v>
      </c>
    </row>
    <row r="79" spans="1:13" x14ac:dyDescent="0.25">
      <c r="A79" s="1">
        <v>38</v>
      </c>
      <c r="B79" s="47">
        <v>45946</v>
      </c>
      <c r="C79" s="66">
        <v>43441344</v>
      </c>
      <c r="D79" s="156">
        <v>62.8</v>
      </c>
      <c r="E79" s="5">
        <v>33.831000000000003</v>
      </c>
      <c r="F79" s="5">
        <v>34.485999999999997</v>
      </c>
      <c r="G79" s="5">
        <f>F79-E79</f>
        <v>0.65499999999999403</v>
      </c>
      <c r="H79" s="16">
        <f t="shared" si="0"/>
        <v>0.56316899999999492</v>
      </c>
      <c r="I79" s="16"/>
      <c r="J79" s="16"/>
      <c r="K79" s="16">
        <f t="shared" si="3"/>
        <v>0.56316899999999492</v>
      </c>
      <c r="M79" s="13" t="s">
        <v>69</v>
      </c>
    </row>
    <row r="80" spans="1:13" x14ac:dyDescent="0.25">
      <c r="A80" s="1">
        <v>39</v>
      </c>
      <c r="B80" s="33"/>
      <c r="C80" s="66">
        <v>43441341</v>
      </c>
      <c r="D80" s="156">
        <v>50.5</v>
      </c>
      <c r="E80" s="5">
        <v>11.178000000000001</v>
      </c>
      <c r="F80" s="5">
        <v>11.178000000000001</v>
      </c>
      <c r="G80" s="5"/>
      <c r="H80" s="16">
        <f t="shared" si="0"/>
        <v>0</v>
      </c>
      <c r="I80" s="16">
        <f>(((D80*0.015)*12)/7)</f>
        <v>1.2985714285714285</v>
      </c>
      <c r="J80" s="16">
        <f t="shared" si="2"/>
        <v>-0.19171451524095187</v>
      </c>
      <c r="K80" s="16">
        <f t="shared" si="3"/>
        <v>1.1068569133304766</v>
      </c>
      <c r="M80" s="13" t="s">
        <v>71</v>
      </c>
    </row>
    <row r="81" spans="1:13" x14ac:dyDescent="0.25">
      <c r="A81" s="1">
        <v>40</v>
      </c>
      <c r="B81" s="47">
        <v>45594</v>
      </c>
      <c r="C81" s="10" t="s">
        <v>72</v>
      </c>
      <c r="D81" s="156">
        <v>52.3</v>
      </c>
      <c r="E81" s="39">
        <v>1.8176000000000001</v>
      </c>
      <c r="F81" s="39">
        <v>1.8176000000000001</v>
      </c>
      <c r="G81" s="39"/>
      <c r="H81" s="16">
        <f>F81-E81</f>
        <v>0</v>
      </c>
      <c r="I81" s="16"/>
      <c r="J81" s="16"/>
      <c r="K81" s="16">
        <f t="shared" si="3"/>
        <v>0</v>
      </c>
      <c r="M81" s="13" t="s">
        <v>69</v>
      </c>
    </row>
    <row r="82" spans="1:13" x14ac:dyDescent="0.25">
      <c r="A82" s="1">
        <v>41</v>
      </c>
      <c r="B82" s="47">
        <v>45573</v>
      </c>
      <c r="C82" s="66">
        <v>43441283</v>
      </c>
      <c r="D82" s="156">
        <v>53</v>
      </c>
      <c r="E82" s="5">
        <v>15.311999999999999</v>
      </c>
      <c r="F82" s="5">
        <v>15.4</v>
      </c>
      <c r="G82" s="5">
        <f>F82-E82</f>
        <v>8.8000000000000966E-2</v>
      </c>
      <c r="H82" s="16">
        <f t="shared" si="0"/>
        <v>7.5662400000000837E-2</v>
      </c>
      <c r="I82" s="16"/>
      <c r="J82" s="16"/>
      <c r="K82" s="16">
        <f t="shared" si="3"/>
        <v>7.5662400000000837E-2</v>
      </c>
      <c r="M82" s="13" t="s">
        <v>69</v>
      </c>
    </row>
    <row r="83" spans="1:13" x14ac:dyDescent="0.25">
      <c r="A83" s="1">
        <v>42</v>
      </c>
      <c r="B83" s="47">
        <v>45459</v>
      </c>
      <c r="C83" s="10" t="s">
        <v>57</v>
      </c>
      <c r="D83" s="156">
        <v>100.1</v>
      </c>
      <c r="E83" s="39">
        <v>13.236000000000001</v>
      </c>
      <c r="F83" s="39">
        <v>14.087999999999999</v>
      </c>
      <c r="G83" s="39"/>
      <c r="H83" s="16">
        <f>F83-E83</f>
        <v>0.85199999999999854</v>
      </c>
      <c r="I83" s="16"/>
      <c r="J83" s="16"/>
      <c r="K83" s="16">
        <f t="shared" si="3"/>
        <v>0.85199999999999854</v>
      </c>
      <c r="M83" s="13" t="s">
        <v>69</v>
      </c>
    </row>
    <row r="84" spans="1:13" x14ac:dyDescent="0.25">
      <c r="A84" s="1">
        <v>43</v>
      </c>
      <c r="B84" s="48">
        <v>45866</v>
      </c>
      <c r="C84" s="66">
        <v>43441342</v>
      </c>
      <c r="D84" s="156">
        <v>69.3</v>
      </c>
      <c r="E84" s="5">
        <v>8.3390000000000004</v>
      </c>
      <c r="F84" s="5">
        <v>8.3390000000000004</v>
      </c>
      <c r="G84" s="5">
        <f>F84-E84</f>
        <v>0</v>
      </c>
      <c r="H84" s="16">
        <f t="shared" si="0"/>
        <v>0</v>
      </c>
      <c r="I84" s="16"/>
      <c r="J84" s="16"/>
      <c r="K84" s="16">
        <f t="shared" si="3"/>
        <v>0</v>
      </c>
      <c r="M84" s="13" t="s">
        <v>69</v>
      </c>
    </row>
    <row r="85" spans="1:13" x14ac:dyDescent="0.25">
      <c r="A85" s="1">
        <v>44</v>
      </c>
      <c r="B85" s="47">
        <v>45747</v>
      </c>
      <c r="C85" s="66">
        <v>43441345</v>
      </c>
      <c r="D85" s="156">
        <v>53.3</v>
      </c>
      <c r="E85" s="5">
        <v>18.661000000000001</v>
      </c>
      <c r="F85" s="5">
        <v>18.696000000000002</v>
      </c>
      <c r="G85" s="5">
        <f>F85-E85</f>
        <v>3.5000000000000142E-2</v>
      </c>
      <c r="H85" s="16">
        <f t="shared" si="0"/>
        <v>3.0093000000000123E-2</v>
      </c>
      <c r="I85" s="16"/>
      <c r="J85" s="16"/>
      <c r="K85" s="16">
        <f t="shared" si="3"/>
        <v>3.0093000000000123E-2</v>
      </c>
      <c r="M85" s="13" t="s">
        <v>69</v>
      </c>
    </row>
    <row r="86" spans="1:13" x14ac:dyDescent="0.25">
      <c r="A86" s="1">
        <v>45</v>
      </c>
      <c r="B86" s="33"/>
      <c r="C86" s="66">
        <v>43441348</v>
      </c>
      <c r="D86" s="156">
        <v>52.9</v>
      </c>
      <c r="E86" s="5">
        <v>59.936</v>
      </c>
      <c r="F86" s="5">
        <v>61.003999999999998</v>
      </c>
      <c r="G86" s="5"/>
      <c r="H86" s="16">
        <f t="shared" si="0"/>
        <v>0</v>
      </c>
      <c r="I86" s="16">
        <f>(((D86*0.015)*12)/7)</f>
        <v>1.3602857142857143</v>
      </c>
      <c r="J86" s="16">
        <f t="shared" si="2"/>
        <v>-0.20082570012369019</v>
      </c>
      <c r="K86" s="16">
        <f t="shared" si="3"/>
        <v>1.1594600141620242</v>
      </c>
      <c r="M86" s="13" t="s">
        <v>71</v>
      </c>
    </row>
    <row r="87" spans="1:13" x14ac:dyDescent="0.25">
      <c r="A87" s="1">
        <v>46</v>
      </c>
      <c r="B87" s="52">
        <v>45866</v>
      </c>
      <c r="C87" s="66">
        <v>43441349</v>
      </c>
      <c r="D87" s="156">
        <v>100.9</v>
      </c>
      <c r="E87" s="5">
        <v>25.093</v>
      </c>
      <c r="F87" s="5">
        <v>25.093</v>
      </c>
      <c r="G87" s="5">
        <f>F87-E87</f>
        <v>0</v>
      </c>
      <c r="H87" s="16">
        <f t="shared" si="0"/>
        <v>0</v>
      </c>
      <c r="I87" s="16"/>
      <c r="J87" s="16"/>
      <c r="K87" s="16">
        <f t="shared" si="3"/>
        <v>0</v>
      </c>
      <c r="M87" s="13" t="s">
        <v>69</v>
      </c>
    </row>
    <row r="88" spans="1:13" x14ac:dyDescent="0.25">
      <c r="A88" s="1">
        <v>47</v>
      </c>
      <c r="B88" s="47">
        <v>45459</v>
      </c>
      <c r="C88" s="66" t="s">
        <v>108</v>
      </c>
      <c r="D88" s="156">
        <v>85.4</v>
      </c>
      <c r="E88" s="39">
        <v>3.3184999999999998</v>
      </c>
      <c r="F88" s="39">
        <v>3.3184999999999998</v>
      </c>
      <c r="G88" s="5"/>
      <c r="H88" s="16">
        <f>F88-E88</f>
        <v>0</v>
      </c>
      <c r="I88" s="16"/>
      <c r="J88" s="16"/>
      <c r="K88" s="16">
        <f t="shared" si="3"/>
        <v>0</v>
      </c>
      <c r="M88" s="13" t="s">
        <v>69</v>
      </c>
    </row>
    <row r="89" spans="1:13" x14ac:dyDescent="0.25">
      <c r="A89" s="1">
        <v>48</v>
      </c>
      <c r="B89" s="48">
        <v>45769</v>
      </c>
      <c r="C89" s="66">
        <v>43441356</v>
      </c>
      <c r="D89" s="156">
        <v>53.2</v>
      </c>
      <c r="E89" s="5">
        <v>46.225999999999999</v>
      </c>
      <c r="F89" s="5">
        <v>46.75</v>
      </c>
      <c r="G89" s="5">
        <f>F89-E89</f>
        <v>0.52400000000000091</v>
      </c>
      <c r="H89" s="16">
        <f>G89*0.8598</f>
        <v>0.4505352000000008</v>
      </c>
      <c r="I89" s="16"/>
      <c r="J89" s="16"/>
      <c r="K89" s="16">
        <f t="shared" si="3"/>
        <v>0.4505352000000008</v>
      </c>
      <c r="M89" s="13" t="s">
        <v>69</v>
      </c>
    </row>
    <row r="90" spans="1:13" x14ac:dyDescent="0.25">
      <c r="A90" s="1">
        <v>49</v>
      </c>
      <c r="B90" s="47">
        <v>45607</v>
      </c>
      <c r="C90" s="66">
        <v>43441343</v>
      </c>
      <c r="D90" s="156">
        <v>53.3</v>
      </c>
      <c r="E90" s="5">
        <v>18.100999999999999</v>
      </c>
      <c r="F90" s="5">
        <v>18.317</v>
      </c>
      <c r="G90" s="5">
        <f>F90-E90</f>
        <v>0.21600000000000108</v>
      </c>
      <c r="H90" s="16">
        <f t="shared" si="0"/>
        <v>0.18571680000000093</v>
      </c>
      <c r="I90" s="16"/>
      <c r="J90" s="16"/>
      <c r="K90" s="16">
        <f t="shared" si="3"/>
        <v>0.18571680000000093</v>
      </c>
      <c r="L90" s="24"/>
      <c r="M90" s="13" t="s">
        <v>69</v>
      </c>
    </row>
    <row r="91" spans="1:13" x14ac:dyDescent="0.25">
      <c r="A91" s="1">
        <v>50</v>
      </c>
      <c r="B91" s="52">
        <v>45846</v>
      </c>
      <c r="C91" s="66">
        <v>43441352</v>
      </c>
      <c r="D91" s="156">
        <v>99.5</v>
      </c>
      <c r="E91" s="5">
        <v>83.683000000000007</v>
      </c>
      <c r="F91" s="5">
        <v>84.378</v>
      </c>
      <c r="G91" s="5">
        <f>F91-E91</f>
        <v>0.69499999999999318</v>
      </c>
      <c r="H91" s="16">
        <f>G91*0.8598</f>
        <v>0.59756099999999412</v>
      </c>
      <c r="I91" s="16"/>
      <c r="J91" s="16"/>
      <c r="K91" s="16">
        <f t="shared" si="3"/>
        <v>0.59756099999999412</v>
      </c>
      <c r="L91" s="24"/>
      <c r="M91" s="13" t="s">
        <v>69</v>
      </c>
    </row>
    <row r="92" spans="1:13" x14ac:dyDescent="0.25">
      <c r="A92" s="1">
        <v>51</v>
      </c>
      <c r="B92" s="38"/>
      <c r="C92" s="66">
        <v>43441357</v>
      </c>
      <c r="D92" s="156">
        <v>84.8</v>
      </c>
      <c r="E92" s="5">
        <v>90.488</v>
      </c>
      <c r="F92" s="5">
        <v>90.488</v>
      </c>
      <c r="G92" s="5"/>
      <c r="H92" s="16">
        <f t="shared" si="0"/>
        <v>0</v>
      </c>
      <c r="I92" s="16">
        <f t="shared" ref="I92:I93" si="5">(((D92*0.015)*12)/7)</f>
        <v>2.1805714285714286</v>
      </c>
      <c r="J92" s="16">
        <f t="shared" si="2"/>
        <v>-0.32192853252342019</v>
      </c>
      <c r="K92" s="16">
        <f t="shared" si="3"/>
        <v>1.8586428960480084</v>
      </c>
      <c r="L92" s="24"/>
      <c r="M92" s="13" t="s">
        <v>71</v>
      </c>
    </row>
    <row r="93" spans="1:13" x14ac:dyDescent="0.25">
      <c r="A93" s="1">
        <v>52</v>
      </c>
      <c r="B93" s="38"/>
      <c r="C93" s="66">
        <v>43441355</v>
      </c>
      <c r="D93" s="156">
        <v>52.9</v>
      </c>
      <c r="E93" s="5">
        <v>48.533000000000001</v>
      </c>
      <c r="F93" s="5">
        <v>48.533000000000001</v>
      </c>
      <c r="G93" s="5"/>
      <c r="H93" s="16">
        <f>G93*0.8598</f>
        <v>0</v>
      </c>
      <c r="I93" s="16">
        <f t="shared" si="5"/>
        <v>1.3602857142857143</v>
      </c>
      <c r="J93" s="16">
        <f t="shared" si="2"/>
        <v>-0.20082570012369019</v>
      </c>
      <c r="K93" s="16">
        <f t="shared" si="3"/>
        <v>1.1594600141620242</v>
      </c>
      <c r="L93" s="24"/>
      <c r="M93" s="13" t="s">
        <v>71</v>
      </c>
    </row>
    <row r="94" spans="1:13" x14ac:dyDescent="0.25">
      <c r="A94" s="1">
        <v>53</v>
      </c>
      <c r="B94" s="48">
        <v>45635</v>
      </c>
      <c r="C94" s="66">
        <v>43441358</v>
      </c>
      <c r="D94" s="156">
        <v>52.8</v>
      </c>
      <c r="E94" s="5">
        <v>18.556999999999999</v>
      </c>
      <c r="F94" s="5">
        <v>18.559999999999999</v>
      </c>
      <c r="G94" s="5">
        <f>F94-E94</f>
        <v>3.0000000000001137E-3</v>
      </c>
      <c r="H94" s="16">
        <f t="shared" si="0"/>
        <v>2.5794000000000979E-3</v>
      </c>
      <c r="I94" s="16"/>
      <c r="J94" s="16"/>
      <c r="K94" s="16">
        <f t="shared" si="3"/>
        <v>2.5794000000000979E-3</v>
      </c>
      <c r="L94" s="24"/>
      <c r="M94" s="13" t="s">
        <v>69</v>
      </c>
    </row>
    <row r="95" spans="1:13" x14ac:dyDescent="0.25">
      <c r="A95" s="1">
        <v>54</v>
      </c>
      <c r="B95" s="47">
        <v>45725</v>
      </c>
      <c r="C95" s="10" t="s">
        <v>102</v>
      </c>
      <c r="D95" s="89">
        <v>101</v>
      </c>
      <c r="E95" s="39">
        <v>4.5069999999999997</v>
      </c>
      <c r="F95" s="39">
        <v>4.5069999999999997</v>
      </c>
      <c r="G95" s="5"/>
      <c r="H95" s="16">
        <f>F95-E95</f>
        <v>0</v>
      </c>
      <c r="I95" s="16"/>
      <c r="J95" s="16"/>
      <c r="K95" s="16">
        <f t="shared" si="3"/>
        <v>0</v>
      </c>
      <c r="L95" s="24"/>
      <c r="M95" s="13" t="s">
        <v>69</v>
      </c>
    </row>
    <row r="96" spans="1:13" x14ac:dyDescent="0.25">
      <c r="A96" s="1">
        <v>55</v>
      </c>
      <c r="B96" s="33"/>
      <c r="C96" s="66">
        <v>43441053</v>
      </c>
      <c r="D96" s="156">
        <v>85.2</v>
      </c>
      <c r="E96" s="5">
        <v>45.667999999999999</v>
      </c>
      <c r="F96" s="5">
        <v>45.667999999999999</v>
      </c>
      <c r="G96" s="5"/>
      <c r="H96" s="16">
        <f t="shared" si="0"/>
        <v>0</v>
      </c>
      <c r="I96" s="16">
        <f>(((D96*0.015)*12)/7)</f>
        <v>2.1908571428571428</v>
      </c>
      <c r="J96" s="16">
        <f t="shared" si="2"/>
        <v>-0.32344706333720991</v>
      </c>
      <c r="K96" s="16">
        <f>H96+I96+J96</f>
        <v>1.8674100795199329</v>
      </c>
      <c r="L96" s="24"/>
      <c r="M96" s="13" t="s">
        <v>71</v>
      </c>
    </row>
    <row r="97" spans="1:13" x14ac:dyDescent="0.25">
      <c r="A97" s="1">
        <v>56</v>
      </c>
      <c r="B97" s="47">
        <v>46042</v>
      </c>
      <c r="C97" s="66">
        <v>43441050</v>
      </c>
      <c r="D97" s="156">
        <v>52.5</v>
      </c>
      <c r="E97" s="5">
        <v>30.966000000000001</v>
      </c>
      <c r="F97" s="5">
        <v>30.966000000000001</v>
      </c>
      <c r="G97" s="5">
        <f>F97-E97</f>
        <v>0</v>
      </c>
      <c r="H97" s="16">
        <f t="shared" si="0"/>
        <v>0</v>
      </c>
      <c r="I97" s="16"/>
      <c r="J97" s="16"/>
      <c r="K97" s="16">
        <f t="shared" si="3"/>
        <v>0</v>
      </c>
      <c r="L97" s="24"/>
      <c r="M97" s="13" t="s">
        <v>69</v>
      </c>
    </row>
    <row r="98" spans="1:13" x14ac:dyDescent="0.25">
      <c r="A98" s="1">
        <v>57</v>
      </c>
      <c r="B98" s="33"/>
      <c r="C98" s="66">
        <v>43441051</v>
      </c>
      <c r="D98" s="156">
        <v>52.4</v>
      </c>
      <c r="E98" s="5">
        <v>38.972999999999999</v>
      </c>
      <c r="F98" s="5">
        <v>39.287999999999997</v>
      </c>
      <c r="G98" s="5"/>
      <c r="H98" s="16">
        <f t="shared" si="0"/>
        <v>0</v>
      </c>
      <c r="I98" s="16">
        <f>(((D98*0.015)*12)/7)</f>
        <v>1.3474285714285712</v>
      </c>
      <c r="J98" s="16">
        <f t="shared" si="2"/>
        <v>-0.19892753660645304</v>
      </c>
      <c r="K98" s="16">
        <f t="shared" si="3"/>
        <v>1.1485010348221181</v>
      </c>
      <c r="L98" s="24"/>
      <c r="M98" s="13" t="s">
        <v>71</v>
      </c>
    </row>
    <row r="99" spans="1:13" x14ac:dyDescent="0.25">
      <c r="A99" s="1">
        <v>58</v>
      </c>
      <c r="B99" s="47">
        <v>46262</v>
      </c>
      <c r="C99" s="66" t="s">
        <v>142</v>
      </c>
      <c r="D99" s="156">
        <v>101.3</v>
      </c>
      <c r="E99" s="5">
        <v>0</v>
      </c>
      <c r="F99" s="5">
        <v>0.33</v>
      </c>
      <c r="G99" s="5"/>
      <c r="H99" s="16">
        <f>F99-E99</f>
        <v>0.33</v>
      </c>
      <c r="I99" s="16"/>
      <c r="J99" s="16"/>
      <c r="K99" s="16">
        <f t="shared" si="3"/>
        <v>0.33</v>
      </c>
      <c r="L99" s="24"/>
      <c r="M99" s="13" t="s">
        <v>69</v>
      </c>
    </row>
    <row r="100" spans="1:13" x14ac:dyDescent="0.25">
      <c r="A100" s="1">
        <v>59</v>
      </c>
      <c r="B100" s="47">
        <v>45754</v>
      </c>
      <c r="C100" s="66">
        <v>43441057</v>
      </c>
      <c r="D100" s="156">
        <v>85.3</v>
      </c>
      <c r="E100" s="5">
        <v>25.145</v>
      </c>
      <c r="F100" s="5">
        <v>25.145</v>
      </c>
      <c r="G100" s="5">
        <f t="shared" ref="G100:G105" si="6">F100-E100</f>
        <v>0</v>
      </c>
      <c r="H100" s="16">
        <f t="shared" si="0"/>
        <v>0</v>
      </c>
      <c r="I100" s="16"/>
      <c r="J100" s="16"/>
      <c r="K100" s="16">
        <f>H100+I100+J100</f>
        <v>0</v>
      </c>
      <c r="L100" s="24"/>
      <c r="M100" s="13" t="s">
        <v>69</v>
      </c>
    </row>
    <row r="101" spans="1:13" x14ac:dyDescent="0.25">
      <c r="A101" s="1">
        <v>60</v>
      </c>
      <c r="B101" s="47">
        <v>45703</v>
      </c>
      <c r="C101" s="66">
        <v>43441058</v>
      </c>
      <c r="D101" s="156">
        <v>52.5</v>
      </c>
      <c r="E101" s="5">
        <v>11.071999999999999</v>
      </c>
      <c r="F101" s="5">
        <v>11.314</v>
      </c>
      <c r="G101" s="5">
        <f t="shared" si="6"/>
        <v>0.24200000000000088</v>
      </c>
      <c r="H101" s="16">
        <f>G101*0.8598</f>
        <v>0.20807160000000077</v>
      </c>
      <c r="I101" s="16"/>
      <c r="J101" s="16"/>
      <c r="K101" s="16">
        <f t="shared" si="3"/>
        <v>0.20807160000000077</v>
      </c>
      <c r="M101" s="13" t="s">
        <v>69</v>
      </c>
    </row>
    <row r="102" spans="1:13" x14ac:dyDescent="0.25">
      <c r="A102" s="1">
        <v>61</v>
      </c>
      <c r="B102" s="48">
        <v>45517</v>
      </c>
      <c r="C102" s="66">
        <v>43441054</v>
      </c>
      <c r="D102" s="156">
        <v>52.3</v>
      </c>
      <c r="E102" s="5">
        <v>20.18</v>
      </c>
      <c r="F102" s="5">
        <v>20.364000000000001</v>
      </c>
      <c r="G102" s="5">
        <f t="shared" si="6"/>
        <v>0.18400000000000105</v>
      </c>
      <c r="H102" s="16">
        <f t="shared" si="0"/>
        <v>0.1582032000000009</v>
      </c>
      <c r="I102" s="16"/>
      <c r="J102" s="16"/>
      <c r="K102" s="16">
        <f t="shared" si="3"/>
        <v>0.1582032000000009</v>
      </c>
      <c r="M102" s="13" t="s">
        <v>69</v>
      </c>
    </row>
    <row r="103" spans="1:13" x14ac:dyDescent="0.25">
      <c r="A103" s="1">
        <v>62</v>
      </c>
      <c r="B103" s="47">
        <v>45907</v>
      </c>
      <c r="C103" s="66">
        <v>43441056</v>
      </c>
      <c r="D103" s="156">
        <v>100.5</v>
      </c>
      <c r="E103" s="5">
        <v>38.603999999999999</v>
      </c>
      <c r="F103" s="5">
        <v>38.610999999999997</v>
      </c>
      <c r="G103" s="5">
        <f t="shared" si="6"/>
        <v>6.9999999999978968E-3</v>
      </c>
      <c r="H103" s="16">
        <f t="shared" si="0"/>
        <v>6.0185999999981914E-3</v>
      </c>
      <c r="I103" s="16"/>
      <c r="J103" s="16"/>
      <c r="K103" s="16">
        <f t="shared" si="3"/>
        <v>6.0185999999981914E-3</v>
      </c>
      <c r="M103" s="13" t="s">
        <v>69</v>
      </c>
    </row>
    <row r="104" spans="1:13" x14ac:dyDescent="0.25">
      <c r="A104" s="1">
        <v>63</v>
      </c>
      <c r="B104" s="47">
        <v>45920</v>
      </c>
      <c r="C104" s="66">
        <v>43441064</v>
      </c>
      <c r="D104" s="156">
        <v>85.2</v>
      </c>
      <c r="E104" s="5">
        <v>29.654</v>
      </c>
      <c r="F104" s="5">
        <v>30.265000000000001</v>
      </c>
      <c r="G104" s="5">
        <f t="shared" si="6"/>
        <v>0.61100000000000065</v>
      </c>
      <c r="H104" s="16">
        <f t="shared" si="0"/>
        <v>0.52533780000000052</v>
      </c>
      <c r="I104" s="16"/>
      <c r="J104" s="16"/>
      <c r="K104" s="16">
        <f t="shared" si="3"/>
        <v>0.52533780000000052</v>
      </c>
      <c r="M104" s="13" t="s">
        <v>69</v>
      </c>
    </row>
    <row r="105" spans="1:13" x14ac:dyDescent="0.25">
      <c r="A105" s="1">
        <v>64</v>
      </c>
      <c r="B105" s="47">
        <v>46278</v>
      </c>
      <c r="C105" s="66">
        <v>43441061</v>
      </c>
      <c r="D105" s="156">
        <v>52.7</v>
      </c>
      <c r="E105" s="5">
        <v>25.341000000000001</v>
      </c>
      <c r="F105" s="5">
        <v>25.341000000000001</v>
      </c>
      <c r="G105" s="5">
        <f t="shared" si="6"/>
        <v>0</v>
      </c>
      <c r="H105" s="16">
        <f t="shared" si="0"/>
        <v>0</v>
      </c>
      <c r="I105" s="16"/>
      <c r="J105" s="16"/>
      <c r="K105" s="16">
        <f t="shared" si="3"/>
        <v>0</v>
      </c>
      <c r="M105" s="13" t="s">
        <v>69</v>
      </c>
    </row>
    <row r="106" spans="1:13" x14ac:dyDescent="0.25">
      <c r="A106" s="1">
        <v>65</v>
      </c>
      <c r="B106" s="33"/>
      <c r="C106" s="66">
        <v>43441055</v>
      </c>
      <c r="D106" s="156">
        <v>53.1</v>
      </c>
      <c r="E106" s="5">
        <v>17.591999999999999</v>
      </c>
      <c r="F106" s="5">
        <v>17.602</v>
      </c>
      <c r="G106" s="5"/>
      <c r="H106" s="16">
        <f t="shared" si="0"/>
        <v>0</v>
      </c>
      <c r="I106" s="16">
        <f>(((D106*0.015)*12)/7)</f>
        <v>1.3654285714285714</v>
      </c>
      <c r="J106" s="16">
        <f t="shared" si="2"/>
        <v>-0.20158496553058505</v>
      </c>
      <c r="K106" s="16">
        <f t="shared" si="3"/>
        <v>1.1638436058979864</v>
      </c>
      <c r="M106" s="13" t="s">
        <v>71</v>
      </c>
    </row>
    <row r="107" spans="1:13" x14ac:dyDescent="0.25">
      <c r="A107" s="1">
        <v>66</v>
      </c>
      <c r="B107" s="47">
        <v>45580</v>
      </c>
      <c r="C107" s="66">
        <v>43441063</v>
      </c>
      <c r="D107" s="156">
        <v>101.1</v>
      </c>
      <c r="E107" s="5">
        <v>7.6879999999999997</v>
      </c>
      <c r="F107" s="5">
        <v>7.6879999999999997</v>
      </c>
      <c r="G107" s="5">
        <f>F107-E107</f>
        <v>0</v>
      </c>
      <c r="H107" s="16">
        <f t="shared" ref="H107:H122" si="7">G107*0.8598</f>
        <v>0</v>
      </c>
      <c r="I107" s="16"/>
      <c r="J107" s="16"/>
      <c r="K107" s="16">
        <f t="shared" si="3"/>
        <v>0</v>
      </c>
      <c r="M107" s="13" t="s">
        <v>69</v>
      </c>
    </row>
    <row r="108" spans="1:13" x14ac:dyDescent="0.25">
      <c r="A108" s="1">
        <v>67</v>
      </c>
      <c r="B108" s="47">
        <v>45870</v>
      </c>
      <c r="C108" s="66">
        <v>43441067</v>
      </c>
      <c r="D108" s="156">
        <v>84.7</v>
      </c>
      <c r="E108" s="5">
        <f>16.49+1.2705+1.2705</f>
        <v>19.030999999999995</v>
      </c>
      <c r="F108" s="5">
        <v>19.030999999999995</v>
      </c>
      <c r="G108" s="5">
        <f>F108-E108</f>
        <v>0</v>
      </c>
      <c r="H108" s="16">
        <f t="shared" si="7"/>
        <v>0</v>
      </c>
      <c r="I108" s="16"/>
      <c r="J108" s="16"/>
      <c r="K108" s="16">
        <f t="shared" si="3"/>
        <v>0</v>
      </c>
      <c r="M108" s="13" t="s">
        <v>69</v>
      </c>
    </row>
    <row r="109" spans="1:13" x14ac:dyDescent="0.25">
      <c r="A109" s="1">
        <v>68</v>
      </c>
      <c r="B109" s="47">
        <v>45790</v>
      </c>
      <c r="C109" s="66">
        <v>43441065</v>
      </c>
      <c r="D109" s="156">
        <v>52.7</v>
      </c>
      <c r="E109" s="5">
        <v>27.782</v>
      </c>
      <c r="F109" s="5">
        <v>27.873999999999999</v>
      </c>
      <c r="G109" s="5">
        <f>F109-E109</f>
        <v>9.1999999999998749E-2</v>
      </c>
      <c r="H109" s="16">
        <f>G109*0.8598</f>
        <v>7.9101599999998926E-2</v>
      </c>
      <c r="I109" s="16"/>
      <c r="J109" s="16"/>
      <c r="K109" s="16">
        <f t="shared" si="3"/>
        <v>7.9101599999998926E-2</v>
      </c>
      <c r="M109" s="13" t="s">
        <v>69</v>
      </c>
    </row>
    <row r="110" spans="1:13" x14ac:dyDescent="0.25">
      <c r="A110" s="1">
        <v>69</v>
      </c>
      <c r="B110" s="47">
        <v>45768</v>
      </c>
      <c r="C110" s="66">
        <v>43441060</v>
      </c>
      <c r="D110" s="156">
        <v>53.3</v>
      </c>
      <c r="E110" s="5">
        <v>24.754999999999999</v>
      </c>
      <c r="F110" s="5">
        <v>24.988</v>
      </c>
      <c r="G110" s="5">
        <f>F110-E110</f>
        <v>0.23300000000000054</v>
      </c>
      <c r="H110" s="16">
        <f t="shared" si="7"/>
        <v>0.20033340000000047</v>
      </c>
      <c r="I110" s="16"/>
      <c r="J110" s="16"/>
      <c r="K110" s="16">
        <f t="shared" si="3"/>
        <v>0.20033340000000047</v>
      </c>
      <c r="M110" s="13" t="s">
        <v>69</v>
      </c>
    </row>
    <row r="111" spans="1:13" x14ac:dyDescent="0.25">
      <c r="A111" s="1">
        <v>70</v>
      </c>
      <c r="B111" s="47">
        <v>46117</v>
      </c>
      <c r="C111" s="66">
        <v>43441066</v>
      </c>
      <c r="D111" s="156">
        <v>101.3</v>
      </c>
      <c r="E111" s="5">
        <v>60.588999999999999</v>
      </c>
      <c r="F111" s="5">
        <v>61.119</v>
      </c>
      <c r="G111" s="5">
        <f>F111-E111</f>
        <v>0.53000000000000114</v>
      </c>
      <c r="H111" s="16">
        <f t="shared" si="7"/>
        <v>0.45569400000000099</v>
      </c>
      <c r="I111" s="16"/>
      <c r="J111" s="16"/>
      <c r="K111" s="16">
        <f t="shared" si="3"/>
        <v>0.45569400000000099</v>
      </c>
      <c r="M111" s="13" t="s">
        <v>69</v>
      </c>
    </row>
    <row r="112" spans="1:13" x14ac:dyDescent="0.25">
      <c r="A112" s="1">
        <v>71</v>
      </c>
      <c r="B112" s="33"/>
      <c r="C112" s="66">
        <v>43441350</v>
      </c>
      <c r="D112" s="156">
        <v>85.7</v>
      </c>
      <c r="E112" s="5">
        <v>72.227999999999994</v>
      </c>
      <c r="F112" s="5">
        <v>72.227999999999994</v>
      </c>
      <c r="G112" s="5"/>
      <c r="H112" s="16">
        <f t="shared" si="7"/>
        <v>0</v>
      </c>
      <c r="I112" s="16">
        <f t="shared" ref="I112:I113" si="8">(((D112*0.015)*12)/7)</f>
        <v>2.2037142857142862</v>
      </c>
      <c r="J112" s="16">
        <f t="shared" ref="J112:J113" si="9">D112/($E$11-$E$13)*$J$10</f>
        <v>-0.32534522685444706</v>
      </c>
      <c r="K112" s="16">
        <f t="shared" si="3"/>
        <v>1.8783690588598392</v>
      </c>
      <c r="M112" s="13" t="s">
        <v>71</v>
      </c>
    </row>
    <row r="113" spans="1:16" x14ac:dyDescent="0.25">
      <c r="A113" s="1">
        <v>72</v>
      </c>
      <c r="B113" s="33"/>
      <c r="C113" s="66">
        <v>43441353</v>
      </c>
      <c r="D113" s="156">
        <v>52.8</v>
      </c>
      <c r="E113" s="5">
        <v>31.23</v>
      </c>
      <c r="F113" s="5">
        <v>31.547000000000001</v>
      </c>
      <c r="G113" s="5"/>
      <c r="H113" s="16">
        <f t="shared" si="7"/>
        <v>0</v>
      </c>
      <c r="I113" s="16">
        <f t="shared" si="8"/>
        <v>1.3577142857142857</v>
      </c>
      <c r="J113" s="16">
        <f t="shared" si="9"/>
        <v>-0.20044606742024276</v>
      </c>
      <c r="K113" s="16">
        <f t="shared" si="3"/>
        <v>1.1572682182940428</v>
      </c>
      <c r="M113" s="13" t="s">
        <v>71</v>
      </c>
    </row>
    <row r="114" spans="1:16" x14ac:dyDescent="0.25">
      <c r="A114" s="1">
        <v>73</v>
      </c>
      <c r="B114" s="47">
        <v>45982</v>
      </c>
      <c r="C114" s="66" t="s">
        <v>143</v>
      </c>
      <c r="D114" s="156">
        <v>52.8</v>
      </c>
      <c r="E114" s="39">
        <v>0</v>
      </c>
      <c r="F114" s="39">
        <v>0</v>
      </c>
      <c r="G114" s="5"/>
      <c r="H114" s="16">
        <f>F114-E114</f>
        <v>0</v>
      </c>
      <c r="I114" s="16"/>
      <c r="J114" s="16"/>
      <c r="K114" s="16">
        <f t="shared" si="3"/>
        <v>0</v>
      </c>
      <c r="M114" s="13" t="s">
        <v>69</v>
      </c>
    </row>
    <row r="115" spans="1:16" ht="15.75" thickBot="1" x14ac:dyDescent="0.3">
      <c r="A115" s="15">
        <v>74</v>
      </c>
      <c r="B115" s="188">
        <v>46168</v>
      </c>
      <c r="C115" s="66" t="s">
        <v>144</v>
      </c>
      <c r="D115" s="90">
        <v>100.6</v>
      </c>
      <c r="E115" s="189">
        <v>0</v>
      </c>
      <c r="F115" s="189">
        <v>0</v>
      </c>
      <c r="G115" s="8"/>
      <c r="H115" s="16">
        <f t="shared" ref="H115" si="10">F115-E115</f>
        <v>0</v>
      </c>
      <c r="I115" s="16"/>
      <c r="J115" s="16"/>
      <c r="K115" s="16">
        <f>H115+I115+J115</f>
        <v>0</v>
      </c>
      <c r="M115" s="13" t="s">
        <v>69</v>
      </c>
      <c r="O115" s="12"/>
      <c r="P115" s="12"/>
    </row>
    <row r="116" spans="1:16" ht="15.75" thickBot="1" x14ac:dyDescent="0.3">
      <c r="A116" s="219" t="s">
        <v>73</v>
      </c>
      <c r="B116" s="220"/>
      <c r="C116" s="220"/>
      <c r="D116" s="92">
        <f>SUM(D42:D115)</f>
        <v>5338.7000000000025</v>
      </c>
      <c r="E116" s="221" t="s">
        <v>74</v>
      </c>
      <c r="F116" s="221"/>
      <c r="G116" s="221"/>
      <c r="H116" s="64">
        <f>SUM(H42:H115)</f>
        <v>11.374701199999983</v>
      </c>
      <c r="I116" s="64">
        <f>SUM(I42:I115)</f>
        <v>29.995714285714286</v>
      </c>
      <c r="J116" s="64">
        <f>SUM(J42:J115)</f>
        <v>-4.4284154857142646</v>
      </c>
      <c r="K116" s="93">
        <f>SUM(K42:K115)</f>
        <v>36.942</v>
      </c>
      <c r="M116" s="13"/>
    </row>
    <row r="117" spans="1:16" x14ac:dyDescent="0.25">
      <c r="A117" s="9">
        <v>75</v>
      </c>
      <c r="B117" s="105">
        <v>46854</v>
      </c>
      <c r="C117" s="69" t="s">
        <v>145</v>
      </c>
      <c r="D117" s="155">
        <v>85</v>
      </c>
      <c r="E117" s="6">
        <v>0.13900000000000001</v>
      </c>
      <c r="F117" s="6">
        <v>0.76300000000000001</v>
      </c>
      <c r="G117" s="6"/>
      <c r="H117" s="16">
        <f>F117-E117</f>
        <v>0.624</v>
      </c>
      <c r="I117" s="16"/>
      <c r="J117" s="16"/>
      <c r="K117" s="19">
        <f>H117+I117+J117</f>
        <v>0.624</v>
      </c>
      <c r="M117" s="13" t="s">
        <v>69</v>
      </c>
    </row>
    <row r="118" spans="1:16" x14ac:dyDescent="0.25">
      <c r="A118" s="1">
        <v>76</v>
      </c>
      <c r="B118" s="47">
        <v>45939</v>
      </c>
      <c r="C118" s="66">
        <v>43441335</v>
      </c>
      <c r="D118" s="156">
        <v>58.3</v>
      </c>
      <c r="E118" s="5">
        <v>45.790999999999997</v>
      </c>
      <c r="F118" s="5">
        <v>46.023000000000003</v>
      </c>
      <c r="G118" s="5">
        <f>F118-E118</f>
        <v>0.23200000000000642</v>
      </c>
      <c r="H118" s="16">
        <f>G118*0.8598</f>
        <v>0.19947360000000552</v>
      </c>
      <c r="I118" s="16"/>
      <c r="J118" s="16"/>
      <c r="K118" s="19">
        <f t="shared" ref="K118:K172" si="11">H118+I118+J118</f>
        <v>0.19947360000000552</v>
      </c>
      <c r="M118" s="13" t="s">
        <v>69</v>
      </c>
    </row>
    <row r="119" spans="1:16" x14ac:dyDescent="0.25">
      <c r="A119" s="1">
        <v>77</v>
      </c>
      <c r="B119" s="47">
        <v>45950</v>
      </c>
      <c r="C119" s="66">
        <v>43441338</v>
      </c>
      <c r="D119" s="156">
        <v>58.5</v>
      </c>
      <c r="E119" s="5">
        <v>44.530999999999999</v>
      </c>
      <c r="F119" s="5">
        <v>45.008000000000003</v>
      </c>
      <c r="G119" s="5">
        <f>F119-E119</f>
        <v>0.47700000000000387</v>
      </c>
      <c r="H119" s="16">
        <f>G119*0.8598</f>
        <v>0.41012460000000334</v>
      </c>
      <c r="I119" s="16"/>
      <c r="J119" s="16"/>
      <c r="K119" s="19">
        <f t="shared" si="11"/>
        <v>0.41012460000000334</v>
      </c>
      <c r="M119" s="13" t="s">
        <v>69</v>
      </c>
    </row>
    <row r="120" spans="1:16" x14ac:dyDescent="0.25">
      <c r="A120" s="1">
        <v>78</v>
      </c>
      <c r="B120" s="47">
        <v>45459</v>
      </c>
      <c r="C120" s="66" t="s">
        <v>109</v>
      </c>
      <c r="D120" s="156">
        <v>76.599999999999994</v>
      </c>
      <c r="E120" s="39">
        <v>6.8250000000000002</v>
      </c>
      <c r="F120" s="39">
        <v>7.149</v>
      </c>
      <c r="G120" s="5"/>
      <c r="H120" s="16">
        <f>F120-E120</f>
        <v>0.32399999999999984</v>
      </c>
      <c r="I120" s="16"/>
      <c r="J120" s="16"/>
      <c r="K120" s="19">
        <f t="shared" si="11"/>
        <v>0.32399999999999984</v>
      </c>
      <c r="M120" s="13" t="s">
        <v>69</v>
      </c>
    </row>
    <row r="121" spans="1:16" x14ac:dyDescent="0.25">
      <c r="A121" s="1">
        <v>79</v>
      </c>
      <c r="B121" s="47">
        <v>45747</v>
      </c>
      <c r="C121" s="66">
        <v>43441336</v>
      </c>
      <c r="D121" s="156">
        <v>85.7</v>
      </c>
      <c r="E121" s="5">
        <v>23.196999999999999</v>
      </c>
      <c r="F121" s="5">
        <v>23.251999999999999</v>
      </c>
      <c r="G121" s="5">
        <f>F121-E121</f>
        <v>5.4999999999999716E-2</v>
      </c>
      <c r="H121" s="16">
        <f>G121*0.8598</f>
        <v>4.7288999999999755E-2</v>
      </c>
      <c r="I121" s="16"/>
      <c r="J121" s="16"/>
      <c r="K121" s="19">
        <f t="shared" si="11"/>
        <v>4.7288999999999755E-2</v>
      </c>
      <c r="M121" s="13" t="s">
        <v>69</v>
      </c>
      <c r="O121" s="24"/>
    </row>
    <row r="122" spans="1:16" x14ac:dyDescent="0.25">
      <c r="A122" s="1">
        <v>80</v>
      </c>
      <c r="B122" s="33"/>
      <c r="C122" s="66">
        <v>43441339</v>
      </c>
      <c r="D122" s="156">
        <v>58.3</v>
      </c>
      <c r="E122" s="5">
        <v>41.792999999999999</v>
      </c>
      <c r="F122" s="5">
        <v>42.04</v>
      </c>
      <c r="G122" s="5"/>
      <c r="H122" s="16">
        <f t="shared" si="7"/>
        <v>0</v>
      </c>
      <c r="I122" s="16">
        <f>(((D122*0.015)*12)/7)</f>
        <v>1.4991428571428571</v>
      </c>
      <c r="J122" s="16">
        <f>D122/($E$18-$E$20)*$J$17</f>
        <v>-0.42923652972852727</v>
      </c>
      <c r="K122" s="19">
        <f t="shared" si="11"/>
        <v>1.0699063274143299</v>
      </c>
      <c r="M122" s="13" t="s">
        <v>71</v>
      </c>
      <c r="O122" s="30"/>
    </row>
    <row r="123" spans="1:16" x14ac:dyDescent="0.25">
      <c r="A123" s="1">
        <v>81</v>
      </c>
      <c r="B123" s="47">
        <v>46832</v>
      </c>
      <c r="C123" s="66" t="s">
        <v>133</v>
      </c>
      <c r="D123" s="156">
        <v>58.4</v>
      </c>
      <c r="E123" s="39">
        <v>1E-3</v>
      </c>
      <c r="F123" s="39">
        <v>1E-3</v>
      </c>
      <c r="G123" s="5"/>
      <c r="H123" s="16">
        <f>F123-E123</f>
        <v>0</v>
      </c>
      <c r="I123" s="16"/>
      <c r="J123" s="16"/>
      <c r="K123" s="19">
        <f t="shared" si="11"/>
        <v>0</v>
      </c>
      <c r="M123" s="13" t="s">
        <v>69</v>
      </c>
      <c r="O123" s="24"/>
    </row>
    <row r="124" spans="1:16" x14ac:dyDescent="0.25">
      <c r="A124" s="1">
        <v>82</v>
      </c>
      <c r="B124" s="48">
        <v>45937</v>
      </c>
      <c r="C124" s="66">
        <v>43441334</v>
      </c>
      <c r="D124" s="156">
        <v>76.400000000000006</v>
      </c>
      <c r="E124" s="5">
        <v>31.844000000000001</v>
      </c>
      <c r="F124" s="5">
        <v>31.844000000000001</v>
      </c>
      <c r="G124" s="5">
        <f>F124-E124</f>
        <v>0</v>
      </c>
      <c r="H124" s="16">
        <f t="shared" ref="H124:H151" si="12">G124*0.8598</f>
        <v>0</v>
      </c>
      <c r="I124" s="16"/>
      <c r="J124" s="16"/>
      <c r="K124" s="19">
        <f t="shared" si="11"/>
        <v>0</v>
      </c>
      <c r="M124" s="13" t="s">
        <v>69</v>
      </c>
    </row>
    <row r="125" spans="1:16" x14ac:dyDescent="0.25">
      <c r="A125" s="1">
        <v>83</v>
      </c>
      <c r="B125" s="47">
        <v>45847</v>
      </c>
      <c r="C125" s="66">
        <v>43441340</v>
      </c>
      <c r="D125" s="156">
        <v>85.5</v>
      </c>
      <c r="E125" s="5">
        <v>59.808</v>
      </c>
      <c r="F125" s="5">
        <v>59.927999999999997</v>
      </c>
      <c r="G125" s="5">
        <f>F125-E125</f>
        <v>0.11999999999999744</v>
      </c>
      <c r="H125" s="16">
        <f t="shared" si="12"/>
        <v>0.1031759999999978</v>
      </c>
      <c r="I125" s="16"/>
      <c r="J125" s="16"/>
      <c r="K125" s="19">
        <f t="shared" si="11"/>
        <v>0.1031759999999978</v>
      </c>
      <c r="M125" s="13" t="s">
        <v>69</v>
      </c>
    </row>
    <row r="126" spans="1:16" x14ac:dyDescent="0.25">
      <c r="A126" s="1">
        <v>84</v>
      </c>
      <c r="B126" s="33"/>
      <c r="C126" s="66">
        <v>43441326</v>
      </c>
      <c r="D126" s="156">
        <v>58.6</v>
      </c>
      <c r="E126" s="5">
        <v>6.2569999999999997</v>
      </c>
      <c r="F126" s="5">
        <v>6.2569999999999997</v>
      </c>
      <c r="G126" s="5"/>
      <c r="H126" s="16">
        <f t="shared" si="12"/>
        <v>0</v>
      </c>
      <c r="I126" s="16">
        <f t="shared" ref="I126:I127" si="13">(((D126*0.015)*12)/7)</f>
        <v>1.5068571428571429</v>
      </c>
      <c r="J126" s="16">
        <f t="shared" ref="J126:J127" si="14">D126/($E$18-$E$20)*$J$17</f>
        <v>-0.43144529403244775</v>
      </c>
      <c r="K126" s="19">
        <f t="shared" si="11"/>
        <v>1.0754118488246951</v>
      </c>
      <c r="M126" s="13" t="s">
        <v>71</v>
      </c>
    </row>
    <row r="127" spans="1:16" x14ac:dyDescent="0.25">
      <c r="A127" s="1">
        <v>85</v>
      </c>
      <c r="B127" s="33"/>
      <c r="C127" s="66">
        <v>43441323</v>
      </c>
      <c r="D127" s="156">
        <v>59.6</v>
      </c>
      <c r="E127" s="5">
        <v>30.207000000000001</v>
      </c>
      <c r="F127" s="5">
        <v>30.591999999999999</v>
      </c>
      <c r="G127" s="5"/>
      <c r="H127" s="16">
        <f t="shared" si="12"/>
        <v>0</v>
      </c>
      <c r="I127" s="16">
        <f t="shared" si="13"/>
        <v>1.5325714285714285</v>
      </c>
      <c r="J127" s="16">
        <f t="shared" si="14"/>
        <v>-0.43880784171218229</v>
      </c>
      <c r="K127" s="19">
        <f t="shared" si="11"/>
        <v>1.0937635868592461</v>
      </c>
      <c r="M127" s="13" t="s">
        <v>71</v>
      </c>
    </row>
    <row r="128" spans="1:16" x14ac:dyDescent="0.25">
      <c r="A128" s="1">
        <v>86</v>
      </c>
      <c r="B128" s="48">
        <v>45674</v>
      </c>
      <c r="C128" s="66">
        <v>43441329</v>
      </c>
      <c r="D128" s="156">
        <v>76.5</v>
      </c>
      <c r="E128" s="5">
        <v>8.0090000000000003</v>
      </c>
      <c r="F128" s="5">
        <v>8.0090000000000003</v>
      </c>
      <c r="G128" s="5">
        <f>F128-E128</f>
        <v>0</v>
      </c>
      <c r="H128" s="16">
        <f>G128*0.8598</f>
        <v>0</v>
      </c>
      <c r="I128" s="16"/>
      <c r="J128" s="16"/>
      <c r="K128" s="19">
        <f>H128+I128+J128</f>
        <v>0</v>
      </c>
      <c r="M128" s="13" t="s">
        <v>69</v>
      </c>
    </row>
    <row r="129" spans="1:13" x14ac:dyDescent="0.25">
      <c r="A129" s="1">
        <v>87</v>
      </c>
      <c r="B129" s="47">
        <v>46265</v>
      </c>
      <c r="C129" s="66">
        <v>43441330</v>
      </c>
      <c r="D129" s="156">
        <v>85.1</v>
      </c>
      <c r="E129" s="5">
        <v>55.607999999999997</v>
      </c>
      <c r="F129" s="5">
        <v>56.064999999999998</v>
      </c>
      <c r="G129" s="5">
        <f>F129-E129</f>
        <v>0.45700000000000074</v>
      </c>
      <c r="H129" s="16">
        <f>G129*0.8598</f>
        <v>0.39292860000000063</v>
      </c>
      <c r="I129" s="16"/>
      <c r="J129" s="16"/>
      <c r="K129" s="19">
        <f t="shared" si="11"/>
        <v>0.39292860000000063</v>
      </c>
      <c r="M129" s="13" t="s">
        <v>69</v>
      </c>
    </row>
    <row r="130" spans="1:13" x14ac:dyDescent="0.25">
      <c r="A130" s="1">
        <v>88</v>
      </c>
      <c r="B130" s="47">
        <v>45914</v>
      </c>
      <c r="C130" s="66">
        <v>43441327</v>
      </c>
      <c r="D130" s="156">
        <v>58.4</v>
      </c>
      <c r="E130" s="5">
        <v>29.917000000000002</v>
      </c>
      <c r="F130" s="5">
        <v>30.274000000000001</v>
      </c>
      <c r="G130" s="5">
        <f>F130-E130</f>
        <v>0.35699999999999932</v>
      </c>
      <c r="H130" s="16">
        <f t="shared" si="12"/>
        <v>0.30694859999999941</v>
      </c>
      <c r="I130" s="16"/>
      <c r="J130" s="16"/>
      <c r="K130" s="19">
        <f t="shared" si="11"/>
        <v>0.30694859999999941</v>
      </c>
      <c r="M130" s="13" t="s">
        <v>69</v>
      </c>
    </row>
    <row r="131" spans="1:13" x14ac:dyDescent="0.25">
      <c r="A131" s="1">
        <v>89</v>
      </c>
      <c r="B131" s="47">
        <v>45889</v>
      </c>
      <c r="C131" s="66">
        <v>43441324</v>
      </c>
      <c r="D131" s="156">
        <v>58.7</v>
      </c>
      <c r="E131" s="5">
        <v>33.003</v>
      </c>
      <c r="F131" s="5">
        <v>33.435000000000002</v>
      </c>
      <c r="G131" s="5">
        <f>F131-E131</f>
        <v>0.43200000000000216</v>
      </c>
      <c r="H131" s="16">
        <f t="shared" si="12"/>
        <v>0.37143360000000186</v>
      </c>
      <c r="I131" s="16"/>
      <c r="J131" s="16"/>
      <c r="K131" s="19">
        <f t="shared" si="11"/>
        <v>0.37143360000000186</v>
      </c>
      <c r="M131" s="13" t="s">
        <v>69</v>
      </c>
    </row>
    <row r="132" spans="1:13" x14ac:dyDescent="0.25">
      <c r="A132" s="1">
        <v>90</v>
      </c>
      <c r="B132" s="33"/>
      <c r="C132" s="66">
        <v>43441325</v>
      </c>
      <c r="D132" s="156">
        <v>77.7</v>
      </c>
      <c r="E132" s="5">
        <v>39.868000000000002</v>
      </c>
      <c r="F132" s="5">
        <v>40.341000000000001</v>
      </c>
      <c r="G132" s="5"/>
      <c r="H132" s="16">
        <f t="shared" si="12"/>
        <v>0</v>
      </c>
      <c r="I132" s="16">
        <f>(((D132*0.015)*12)/7)</f>
        <v>1.998</v>
      </c>
      <c r="J132" s="16">
        <f>D132/($E$18-$E$20)*$J$17</f>
        <v>-0.57206995471537858</v>
      </c>
      <c r="K132" s="19">
        <f t="shared" si="11"/>
        <v>1.4259300452846215</v>
      </c>
      <c r="M132" s="13" t="s">
        <v>71</v>
      </c>
    </row>
    <row r="133" spans="1:13" x14ac:dyDescent="0.25">
      <c r="A133" s="1">
        <v>91</v>
      </c>
      <c r="B133" s="47">
        <v>45756</v>
      </c>
      <c r="C133" s="66">
        <v>43441328</v>
      </c>
      <c r="D133" s="156">
        <v>85.3</v>
      </c>
      <c r="E133" s="5">
        <v>17.193999999999999</v>
      </c>
      <c r="F133" s="5">
        <v>17.193999999999999</v>
      </c>
      <c r="G133" s="5">
        <f>F133-E133</f>
        <v>0</v>
      </c>
      <c r="H133" s="16">
        <f t="shared" si="12"/>
        <v>0</v>
      </c>
      <c r="I133" s="16"/>
      <c r="J133" s="16"/>
      <c r="K133" s="19">
        <f t="shared" si="11"/>
        <v>0</v>
      </c>
      <c r="M133" s="13" t="s">
        <v>69</v>
      </c>
    </row>
    <row r="134" spans="1:13" x14ac:dyDescent="0.25">
      <c r="A134" s="1">
        <v>92</v>
      </c>
      <c r="B134" s="47">
        <v>45900</v>
      </c>
      <c r="C134" s="66">
        <v>43441331</v>
      </c>
      <c r="D134" s="156">
        <v>58.5</v>
      </c>
      <c r="E134" s="5">
        <v>41.652000000000001</v>
      </c>
      <c r="F134" s="5">
        <v>41.923999999999999</v>
      </c>
      <c r="G134" s="5">
        <f>F134-E134</f>
        <v>0.27199999999999847</v>
      </c>
      <c r="H134" s="16">
        <f t="shared" si="12"/>
        <v>0.23386559999999867</v>
      </c>
      <c r="I134" s="16"/>
      <c r="J134" s="16"/>
      <c r="K134" s="19">
        <f t="shared" si="11"/>
        <v>0.23386559999999867</v>
      </c>
      <c r="M134" s="13" t="s">
        <v>69</v>
      </c>
    </row>
    <row r="135" spans="1:13" x14ac:dyDescent="0.25">
      <c r="A135" s="1">
        <v>93</v>
      </c>
      <c r="B135" s="47">
        <v>45912</v>
      </c>
      <c r="C135" s="66">
        <v>34242164</v>
      </c>
      <c r="D135" s="156">
        <v>59.3</v>
      </c>
      <c r="E135" s="5">
        <v>22.623000000000001</v>
      </c>
      <c r="F135" s="5">
        <v>22.623000000000001</v>
      </c>
      <c r="G135" s="5">
        <f>F135-E135</f>
        <v>0</v>
      </c>
      <c r="H135" s="16">
        <f t="shared" si="12"/>
        <v>0</v>
      </c>
      <c r="I135" s="16"/>
      <c r="J135" s="16"/>
      <c r="K135" s="19">
        <f t="shared" si="11"/>
        <v>0</v>
      </c>
      <c r="M135" s="13" t="s">
        <v>69</v>
      </c>
    </row>
    <row r="136" spans="1:13" x14ac:dyDescent="0.25">
      <c r="A136" s="1">
        <v>94</v>
      </c>
      <c r="B136" s="47">
        <v>46052</v>
      </c>
      <c r="C136" s="66">
        <v>34242158</v>
      </c>
      <c r="D136" s="156">
        <v>76.8</v>
      </c>
      <c r="E136" s="5">
        <v>34.691000000000003</v>
      </c>
      <c r="F136" s="5">
        <v>34.832000000000001</v>
      </c>
      <c r="G136" s="5">
        <f>F136-E136</f>
        <v>0.14099999999999824</v>
      </c>
      <c r="H136" s="16">
        <f>G136*0.8598</f>
        <v>0.12123179999999849</v>
      </c>
      <c r="I136" s="16"/>
      <c r="J136" s="16"/>
      <c r="K136" s="19">
        <f t="shared" si="11"/>
        <v>0.12123179999999849</v>
      </c>
      <c r="M136" s="13" t="s">
        <v>69</v>
      </c>
    </row>
    <row r="137" spans="1:13" x14ac:dyDescent="0.25">
      <c r="A137" s="1">
        <v>95</v>
      </c>
      <c r="B137" s="33"/>
      <c r="C137" s="66">
        <v>34242124</v>
      </c>
      <c r="D137" s="156">
        <v>85.2</v>
      </c>
      <c r="E137" s="5">
        <v>55.988999999999997</v>
      </c>
      <c r="F137" s="5">
        <v>56.506</v>
      </c>
      <c r="G137" s="5"/>
      <c r="H137" s="16">
        <f t="shared" si="12"/>
        <v>0</v>
      </c>
      <c r="I137" s="16">
        <f>(((D137*0.015)*12)/7)</f>
        <v>2.1908571428571428</v>
      </c>
      <c r="J137" s="16">
        <f>D137/($E$18-$E$20)*$J$17</f>
        <v>-0.6272890623133881</v>
      </c>
      <c r="K137" s="19">
        <f t="shared" si="11"/>
        <v>1.5635680805437548</v>
      </c>
      <c r="M137" s="13" t="s">
        <v>71</v>
      </c>
    </row>
    <row r="138" spans="1:13" x14ac:dyDescent="0.25">
      <c r="A138" s="1">
        <v>96</v>
      </c>
      <c r="B138" s="47">
        <v>45767</v>
      </c>
      <c r="C138" s="66">
        <v>34242122</v>
      </c>
      <c r="D138" s="156">
        <v>58.1</v>
      </c>
      <c r="E138" s="5">
        <v>25.51</v>
      </c>
      <c r="F138" s="5">
        <v>25.51</v>
      </c>
      <c r="G138" s="5">
        <f>F138-E138</f>
        <v>0</v>
      </c>
      <c r="H138" s="16">
        <f>G138*0.8598</f>
        <v>0</v>
      </c>
      <c r="I138" s="16"/>
      <c r="J138" s="16"/>
      <c r="K138" s="19">
        <f t="shared" si="11"/>
        <v>0</v>
      </c>
      <c r="M138" s="13" t="s">
        <v>69</v>
      </c>
    </row>
    <row r="139" spans="1:13" x14ac:dyDescent="0.25">
      <c r="A139" s="1">
        <v>97</v>
      </c>
      <c r="B139" s="47">
        <v>46266</v>
      </c>
      <c r="C139" s="66" t="s">
        <v>146</v>
      </c>
      <c r="D139" s="156">
        <v>57.5</v>
      </c>
      <c r="E139" s="5">
        <v>8.3000000000000004E-2</v>
      </c>
      <c r="F139" s="5">
        <v>0.38800000000000001</v>
      </c>
      <c r="G139" s="5"/>
      <c r="H139" s="16">
        <f>F139-E139</f>
        <v>0.30499999999999999</v>
      </c>
      <c r="I139" s="16"/>
      <c r="J139" s="16"/>
      <c r="K139" s="19">
        <f t="shared" si="11"/>
        <v>0.30499999999999999</v>
      </c>
      <c r="M139" s="13" t="s">
        <v>69</v>
      </c>
    </row>
    <row r="140" spans="1:13" x14ac:dyDescent="0.25">
      <c r="A140" s="1">
        <v>98</v>
      </c>
      <c r="B140" s="47">
        <v>45459</v>
      </c>
      <c r="C140" s="66" t="s">
        <v>134</v>
      </c>
      <c r="D140" s="156">
        <v>77</v>
      </c>
      <c r="E140" s="39">
        <v>4.45</v>
      </c>
      <c r="F140" s="39">
        <v>4.8239999999999998</v>
      </c>
      <c r="G140" s="5"/>
      <c r="H140" s="16">
        <f>F140-E140</f>
        <v>0.37399999999999967</v>
      </c>
      <c r="I140" s="16"/>
      <c r="J140" s="16"/>
      <c r="K140" s="19">
        <f t="shared" si="11"/>
        <v>0.37399999999999967</v>
      </c>
      <c r="M140" s="13" t="s">
        <v>69</v>
      </c>
    </row>
    <row r="141" spans="1:13" x14ac:dyDescent="0.25">
      <c r="A141" s="1">
        <v>99</v>
      </c>
      <c r="B141" s="47">
        <v>45767</v>
      </c>
      <c r="C141" s="66">
        <v>34242441</v>
      </c>
      <c r="D141" s="156">
        <v>85.4</v>
      </c>
      <c r="E141" s="5">
        <v>13.664</v>
      </c>
      <c r="F141" s="5">
        <v>13.664</v>
      </c>
      <c r="G141" s="5">
        <f>F141-E141</f>
        <v>0</v>
      </c>
      <c r="H141" s="16">
        <f t="shared" ref="H141:H142" si="15">G141*0.8598</f>
        <v>0</v>
      </c>
      <c r="I141" s="16"/>
      <c r="J141" s="16"/>
      <c r="K141" s="19">
        <f t="shared" si="11"/>
        <v>0</v>
      </c>
      <c r="M141" s="13" t="s">
        <v>69</v>
      </c>
    </row>
    <row r="142" spans="1:13" x14ac:dyDescent="0.25">
      <c r="A142" s="1">
        <v>100</v>
      </c>
      <c r="B142" s="47">
        <v>45585</v>
      </c>
      <c r="C142" s="66">
        <v>34242395</v>
      </c>
      <c r="D142" s="156">
        <v>58.2</v>
      </c>
      <c r="E142" s="5">
        <v>28.568999999999999</v>
      </c>
      <c r="F142" s="5">
        <v>28.568999999999999</v>
      </c>
      <c r="G142" s="5">
        <f>F142-E142</f>
        <v>0</v>
      </c>
      <c r="H142" s="16">
        <f t="shared" si="15"/>
        <v>0</v>
      </c>
      <c r="I142" s="16"/>
      <c r="J142" s="16"/>
      <c r="K142" s="19">
        <f t="shared" si="11"/>
        <v>0</v>
      </c>
      <c r="M142" s="13" t="s">
        <v>69</v>
      </c>
    </row>
    <row r="143" spans="1:13" x14ac:dyDescent="0.25">
      <c r="A143" s="1">
        <v>101</v>
      </c>
      <c r="B143" s="47">
        <v>45459</v>
      </c>
      <c r="C143" s="10" t="s">
        <v>96</v>
      </c>
      <c r="D143" s="156">
        <v>59</v>
      </c>
      <c r="E143" s="39">
        <v>0.14299999999999999</v>
      </c>
      <c r="F143" s="39">
        <v>0.14299999999999999</v>
      </c>
      <c r="G143" s="5"/>
      <c r="H143" s="16">
        <f>F143-E143</f>
        <v>0</v>
      </c>
      <c r="I143" s="16"/>
      <c r="J143" s="16"/>
      <c r="K143" s="19">
        <f t="shared" si="11"/>
        <v>0</v>
      </c>
      <c r="M143" s="13" t="s">
        <v>69</v>
      </c>
    </row>
    <row r="144" spans="1:13" x14ac:dyDescent="0.25">
      <c r="A144" s="1">
        <v>102</v>
      </c>
      <c r="B144" s="47">
        <v>45809</v>
      </c>
      <c r="C144" s="66">
        <v>34242123</v>
      </c>
      <c r="D144" s="156">
        <v>77.599999999999994</v>
      </c>
      <c r="E144" s="5">
        <v>18.986000000000001</v>
      </c>
      <c r="F144" s="5">
        <v>19.079000000000001</v>
      </c>
      <c r="G144" s="5">
        <f>F144-E144</f>
        <v>9.2999999999999972E-2</v>
      </c>
      <c r="H144" s="16">
        <f>G144*0.8598</f>
        <v>7.9961399999999974E-2</v>
      </c>
      <c r="I144" s="16"/>
      <c r="J144" s="16"/>
      <c r="K144" s="19">
        <f t="shared" si="11"/>
        <v>7.9961399999999974E-2</v>
      </c>
      <c r="M144" s="13" t="s">
        <v>69</v>
      </c>
    </row>
    <row r="145" spans="1:13" x14ac:dyDescent="0.25">
      <c r="A145" s="1">
        <v>103</v>
      </c>
      <c r="B145" s="47">
        <v>45327</v>
      </c>
      <c r="C145" s="10" t="s">
        <v>97</v>
      </c>
      <c r="D145" s="156">
        <v>85.4</v>
      </c>
      <c r="E145" s="5">
        <v>11.253</v>
      </c>
      <c r="F145" s="5">
        <v>11.821</v>
      </c>
      <c r="G145" s="5"/>
      <c r="H145" s="16">
        <f>F145-E145</f>
        <v>0.56799999999999962</v>
      </c>
      <c r="I145" s="16"/>
      <c r="J145" s="16"/>
      <c r="K145" s="19">
        <f>H145+I145+J145</f>
        <v>0.56799999999999962</v>
      </c>
      <c r="M145" s="13" t="s">
        <v>69</v>
      </c>
    </row>
    <row r="146" spans="1:13" x14ac:dyDescent="0.25">
      <c r="A146" s="1">
        <v>104</v>
      </c>
      <c r="B146" s="47">
        <v>45951</v>
      </c>
      <c r="C146" s="66">
        <v>43242242</v>
      </c>
      <c r="D146" s="156">
        <v>58.8</v>
      </c>
      <c r="E146" s="5">
        <v>43.526000000000003</v>
      </c>
      <c r="F146" s="5">
        <v>43.646000000000001</v>
      </c>
      <c r="G146" s="5">
        <f>F146-E146</f>
        <v>0.11999999999999744</v>
      </c>
      <c r="H146" s="16">
        <f>G146*0.8598</f>
        <v>0.1031759999999978</v>
      </c>
      <c r="I146" s="16"/>
      <c r="J146" s="16"/>
      <c r="K146" s="19">
        <f t="shared" si="11"/>
        <v>0.1031759999999978</v>
      </c>
      <c r="M146" s="13" t="s">
        <v>69</v>
      </c>
    </row>
    <row r="147" spans="1:13" x14ac:dyDescent="0.25">
      <c r="A147" s="1">
        <v>105</v>
      </c>
      <c r="B147" s="34"/>
      <c r="C147" s="66">
        <v>34242113</v>
      </c>
      <c r="D147" s="156">
        <v>59.2</v>
      </c>
      <c r="E147" s="5">
        <v>31.309000000000001</v>
      </c>
      <c r="F147" s="5">
        <v>31.309000000000001</v>
      </c>
      <c r="G147" s="5"/>
      <c r="H147" s="16">
        <f t="shared" si="12"/>
        <v>0</v>
      </c>
      <c r="I147" s="16">
        <f>(((D147*0.015)*12)/7)</f>
        <v>1.5222857142857145</v>
      </c>
      <c r="J147" s="16">
        <f>D147/($E$18-$E$20)*$J$17</f>
        <v>-0.43586282264028847</v>
      </c>
      <c r="K147" s="19">
        <f t="shared" si="11"/>
        <v>1.0864228916454259</v>
      </c>
      <c r="M147" s="13" t="s">
        <v>71</v>
      </c>
    </row>
    <row r="148" spans="1:13" x14ac:dyDescent="0.25">
      <c r="A148" s="1">
        <v>106</v>
      </c>
      <c r="B148" s="47">
        <v>45703</v>
      </c>
      <c r="C148" s="67">
        <v>34242119</v>
      </c>
      <c r="D148" s="156">
        <v>76.8</v>
      </c>
      <c r="E148" s="5">
        <v>53.92</v>
      </c>
      <c r="F148" s="5">
        <v>54.767000000000003</v>
      </c>
      <c r="G148" s="5">
        <f>F148-E148</f>
        <v>0.84700000000000131</v>
      </c>
      <c r="H148" s="16">
        <f>G148*0.8598</f>
        <v>0.72825060000000108</v>
      </c>
      <c r="I148" s="16"/>
      <c r="J148" s="16"/>
      <c r="K148" s="19">
        <f t="shared" si="11"/>
        <v>0.72825060000000108</v>
      </c>
      <c r="L148" s="24"/>
      <c r="M148" s="13" t="s">
        <v>69</v>
      </c>
    </row>
    <row r="149" spans="1:13" x14ac:dyDescent="0.25">
      <c r="A149" s="1">
        <v>107</v>
      </c>
      <c r="B149" s="33"/>
      <c r="C149" s="66">
        <v>34242112</v>
      </c>
      <c r="D149" s="156">
        <v>85.1</v>
      </c>
      <c r="E149" s="5">
        <v>49.368000000000002</v>
      </c>
      <c r="F149" s="5">
        <v>49.726999999999997</v>
      </c>
      <c r="G149" s="5"/>
      <c r="H149" s="16">
        <f t="shared" si="12"/>
        <v>0</v>
      </c>
      <c r="I149" s="16">
        <f>(((D149*0.015)*12)/7)</f>
        <v>2.1882857142857142</v>
      </c>
      <c r="J149" s="16">
        <f>D149/($E$18-$E$20)*$J$17</f>
        <v>-0.62655280754541465</v>
      </c>
      <c r="K149" s="19">
        <f t="shared" si="11"/>
        <v>1.5617329067402994</v>
      </c>
      <c r="M149" s="13" t="s">
        <v>71</v>
      </c>
    </row>
    <row r="150" spans="1:13" x14ac:dyDescent="0.25">
      <c r="A150" s="1">
        <v>108</v>
      </c>
      <c r="B150" s="47">
        <v>45718</v>
      </c>
      <c r="C150" s="66">
        <v>34242115</v>
      </c>
      <c r="D150" s="156">
        <v>58.5</v>
      </c>
      <c r="E150" s="5">
        <v>17.077999999999999</v>
      </c>
      <c r="F150" s="5">
        <v>17.143000000000001</v>
      </c>
      <c r="G150" s="5">
        <f>F150-E150</f>
        <v>6.5000000000001279E-2</v>
      </c>
      <c r="H150" s="16">
        <f t="shared" si="12"/>
        <v>5.5887000000001102E-2</v>
      </c>
      <c r="I150" s="16"/>
      <c r="J150" s="16"/>
      <c r="K150" s="19">
        <f t="shared" si="11"/>
        <v>5.5887000000001102E-2</v>
      </c>
      <c r="L150" s="24"/>
      <c r="M150" s="13" t="s">
        <v>69</v>
      </c>
    </row>
    <row r="151" spans="1:13" x14ac:dyDescent="0.25">
      <c r="A151" s="1">
        <v>109</v>
      </c>
      <c r="B151" s="47">
        <v>45641</v>
      </c>
      <c r="C151" s="66">
        <v>34242118</v>
      </c>
      <c r="D151" s="156">
        <v>59.1</v>
      </c>
      <c r="E151" s="5">
        <v>43.387</v>
      </c>
      <c r="F151" s="5">
        <v>43.572000000000003</v>
      </c>
      <c r="G151" s="5">
        <f>F151-E151</f>
        <v>0.18500000000000227</v>
      </c>
      <c r="H151" s="16">
        <f t="shared" si="12"/>
        <v>0.15906300000000195</v>
      </c>
      <c r="I151" s="16"/>
      <c r="J151" s="16"/>
      <c r="K151" s="19">
        <f t="shared" si="11"/>
        <v>0.15906300000000195</v>
      </c>
      <c r="M151" s="13" t="s">
        <v>69</v>
      </c>
    </row>
    <row r="152" spans="1:13" x14ac:dyDescent="0.25">
      <c r="A152" s="1">
        <v>110</v>
      </c>
      <c r="B152" s="47">
        <v>45955</v>
      </c>
      <c r="C152" s="66" t="s">
        <v>111</v>
      </c>
      <c r="D152" s="156">
        <v>77.099999999999994</v>
      </c>
      <c r="E152" s="39">
        <v>2.3477999999999999</v>
      </c>
      <c r="F152" s="39">
        <v>2.5013000000000001</v>
      </c>
      <c r="G152" s="5"/>
      <c r="H152" s="16">
        <f t="shared" ref="H152:H153" si="16">F152-E152</f>
        <v>0.15350000000000019</v>
      </c>
      <c r="I152" s="16"/>
      <c r="J152" s="16"/>
      <c r="K152" s="19">
        <f t="shared" si="11"/>
        <v>0.15350000000000019</v>
      </c>
      <c r="M152" s="13" t="s">
        <v>69</v>
      </c>
    </row>
    <row r="153" spans="1:13" x14ac:dyDescent="0.25">
      <c r="A153" s="1">
        <v>111</v>
      </c>
      <c r="B153" s="47">
        <v>45327</v>
      </c>
      <c r="C153" s="10" t="s">
        <v>58</v>
      </c>
      <c r="D153" s="156">
        <v>85.1</v>
      </c>
      <c r="E153" s="39">
        <v>9.0009999999999994</v>
      </c>
      <c r="F153" s="39">
        <v>9.1449999999999996</v>
      </c>
      <c r="G153" s="39"/>
      <c r="H153" s="16">
        <f t="shared" si="16"/>
        <v>0.14400000000000013</v>
      </c>
      <c r="I153" s="16"/>
      <c r="J153" s="16"/>
      <c r="K153" s="19">
        <f t="shared" si="11"/>
        <v>0.14400000000000013</v>
      </c>
      <c r="M153" s="13" t="s">
        <v>69</v>
      </c>
    </row>
    <row r="154" spans="1:13" x14ac:dyDescent="0.25">
      <c r="A154" s="1">
        <v>112</v>
      </c>
      <c r="B154" s="47">
        <v>45622</v>
      </c>
      <c r="C154" s="66">
        <v>34242117</v>
      </c>
      <c r="D154" s="156">
        <v>57.5</v>
      </c>
      <c r="E154" s="5">
        <v>21.913</v>
      </c>
      <c r="F154" s="5">
        <v>21.962</v>
      </c>
      <c r="G154" s="5">
        <f t="shared" ref="G154:G162" si="17">F154-E154</f>
        <v>4.8999999999999488E-2</v>
      </c>
      <c r="H154" s="16">
        <f t="shared" ref="H154:H182" si="18">G154*0.8598</f>
        <v>4.2130199999999562E-2</v>
      </c>
      <c r="I154" s="16"/>
      <c r="J154" s="16"/>
      <c r="K154" s="19">
        <f t="shared" si="11"/>
        <v>4.2130199999999562E-2</v>
      </c>
      <c r="M154" s="13" t="s">
        <v>69</v>
      </c>
    </row>
    <row r="155" spans="1:13" x14ac:dyDescent="0.25">
      <c r="A155" s="1">
        <v>113</v>
      </c>
      <c r="B155" s="47">
        <v>45957</v>
      </c>
      <c r="C155" s="66">
        <v>34242125</v>
      </c>
      <c r="D155" s="156">
        <v>58.9</v>
      </c>
      <c r="E155" s="5">
        <v>23.300999999999998</v>
      </c>
      <c r="F155" s="5">
        <v>23.5</v>
      </c>
      <c r="G155" s="5">
        <f t="shared" si="17"/>
        <v>0.19900000000000162</v>
      </c>
      <c r="H155" s="16">
        <f t="shared" si="18"/>
        <v>0.1711002000000014</v>
      </c>
      <c r="I155" s="16"/>
      <c r="J155" s="16"/>
      <c r="K155" s="19">
        <f t="shared" si="11"/>
        <v>0.1711002000000014</v>
      </c>
      <c r="M155" s="13" t="s">
        <v>69</v>
      </c>
    </row>
    <row r="156" spans="1:13" x14ac:dyDescent="0.25">
      <c r="A156" s="1">
        <v>114</v>
      </c>
      <c r="B156" s="48">
        <v>45875</v>
      </c>
      <c r="C156" s="66">
        <v>34242154</v>
      </c>
      <c r="D156" s="156">
        <v>77.099999999999994</v>
      </c>
      <c r="E156" s="5">
        <v>6.444</v>
      </c>
      <c r="F156" s="5">
        <v>7.3129999999999997</v>
      </c>
      <c r="G156" s="5">
        <f t="shared" si="17"/>
        <v>0.86899999999999977</v>
      </c>
      <c r="H156" s="16">
        <f t="shared" si="18"/>
        <v>0.74716619999999978</v>
      </c>
      <c r="I156" s="16"/>
      <c r="J156" s="16"/>
      <c r="K156" s="19">
        <f t="shared" si="11"/>
        <v>0.74716619999999978</v>
      </c>
      <c r="M156" s="13" t="s">
        <v>69</v>
      </c>
    </row>
    <row r="157" spans="1:13" x14ac:dyDescent="0.25">
      <c r="A157" s="1">
        <v>115</v>
      </c>
      <c r="B157" s="47">
        <v>45912</v>
      </c>
      <c r="C157" s="66">
        <v>34242149</v>
      </c>
      <c r="D157" s="156">
        <v>85.3</v>
      </c>
      <c r="E157" s="5">
        <v>35.655999999999999</v>
      </c>
      <c r="F157" s="5">
        <v>36.180999999999997</v>
      </c>
      <c r="G157" s="5">
        <f t="shared" si="17"/>
        <v>0.52499999999999858</v>
      </c>
      <c r="H157" s="16">
        <f t="shared" si="18"/>
        <v>0.45139499999999877</v>
      </c>
      <c r="I157" s="16"/>
      <c r="J157" s="16"/>
      <c r="K157" s="19">
        <f t="shared" si="11"/>
        <v>0.45139499999999877</v>
      </c>
      <c r="M157" s="13" t="s">
        <v>69</v>
      </c>
    </row>
    <row r="158" spans="1:13" x14ac:dyDescent="0.25">
      <c r="A158" s="1">
        <v>116</v>
      </c>
      <c r="B158" s="47">
        <v>46112</v>
      </c>
      <c r="C158" s="66">
        <v>34242157</v>
      </c>
      <c r="D158" s="156">
        <v>59.6</v>
      </c>
      <c r="E158" s="5">
        <v>26.864999999999998</v>
      </c>
      <c r="F158" s="5">
        <v>26.870999999999999</v>
      </c>
      <c r="G158" s="5">
        <f t="shared" si="17"/>
        <v>6.0000000000002274E-3</v>
      </c>
      <c r="H158" s="16">
        <f t="shared" si="18"/>
        <v>5.1588000000001959E-3</v>
      </c>
      <c r="I158" s="16"/>
      <c r="J158" s="16"/>
      <c r="K158" s="19">
        <f t="shared" si="11"/>
        <v>5.1588000000001959E-3</v>
      </c>
      <c r="M158" s="13" t="s">
        <v>69</v>
      </c>
    </row>
    <row r="159" spans="1:13" x14ac:dyDescent="0.25">
      <c r="A159" s="1">
        <v>117</v>
      </c>
      <c r="B159" s="47">
        <v>45732</v>
      </c>
      <c r="C159" s="66">
        <v>41341239</v>
      </c>
      <c r="D159" s="156">
        <v>59</v>
      </c>
      <c r="E159" s="5">
        <v>13.278</v>
      </c>
      <c r="F159" s="5">
        <v>13.278</v>
      </c>
      <c r="G159" s="5">
        <f t="shared" si="17"/>
        <v>0</v>
      </c>
      <c r="H159" s="16">
        <f t="shared" si="18"/>
        <v>0</v>
      </c>
      <c r="I159" s="16"/>
      <c r="J159" s="16"/>
      <c r="K159" s="19">
        <f t="shared" si="11"/>
        <v>0</v>
      </c>
      <c r="M159" s="13" t="s">
        <v>69</v>
      </c>
    </row>
    <row r="160" spans="1:13" x14ac:dyDescent="0.25">
      <c r="A160" s="1">
        <v>118</v>
      </c>
      <c r="B160" s="47">
        <v>45718</v>
      </c>
      <c r="C160" s="66">
        <v>34242156</v>
      </c>
      <c r="D160" s="156">
        <v>78</v>
      </c>
      <c r="E160" s="5">
        <v>11.022</v>
      </c>
      <c r="F160" s="5">
        <v>11.022</v>
      </c>
      <c r="G160" s="5">
        <f t="shared" si="17"/>
        <v>0</v>
      </c>
      <c r="H160" s="16">
        <f t="shared" si="18"/>
        <v>0</v>
      </c>
      <c r="I160" s="16"/>
      <c r="J160" s="16"/>
      <c r="K160" s="19">
        <f t="shared" si="11"/>
        <v>0</v>
      </c>
      <c r="M160" s="13" t="s">
        <v>69</v>
      </c>
    </row>
    <row r="161" spans="1:16" x14ac:dyDescent="0.25">
      <c r="A161" s="1">
        <v>119</v>
      </c>
      <c r="B161" s="47">
        <v>45755</v>
      </c>
      <c r="C161" s="66">
        <v>34242162</v>
      </c>
      <c r="D161" s="156">
        <v>85.5</v>
      </c>
      <c r="E161" s="5">
        <v>33.959000000000003</v>
      </c>
      <c r="F161" s="5">
        <v>33.959000000000003</v>
      </c>
      <c r="G161" s="5">
        <f t="shared" si="17"/>
        <v>0</v>
      </c>
      <c r="H161" s="16">
        <f t="shared" si="18"/>
        <v>0</v>
      </c>
      <c r="I161" s="16"/>
      <c r="J161" s="16"/>
      <c r="K161" s="19">
        <f t="shared" si="11"/>
        <v>0</v>
      </c>
      <c r="M161" s="13" t="s">
        <v>69</v>
      </c>
    </row>
    <row r="162" spans="1:16" x14ac:dyDescent="0.25">
      <c r="A162" s="1">
        <v>120</v>
      </c>
      <c r="B162" s="47">
        <v>45922</v>
      </c>
      <c r="C162" s="66">
        <v>20140179</v>
      </c>
      <c r="D162" s="156">
        <v>58.9</v>
      </c>
      <c r="E162" s="5">
        <v>32.262</v>
      </c>
      <c r="F162" s="5">
        <v>32.384999999999998</v>
      </c>
      <c r="G162" s="5">
        <f t="shared" si="17"/>
        <v>0.12299999999999756</v>
      </c>
      <c r="H162" s="16">
        <f t="shared" si="18"/>
        <v>0.1057553999999979</v>
      </c>
      <c r="I162" s="16"/>
      <c r="J162" s="16"/>
      <c r="K162" s="19">
        <f t="shared" si="11"/>
        <v>0.1057553999999979</v>
      </c>
      <c r="M162" s="13" t="s">
        <v>69</v>
      </c>
    </row>
    <row r="163" spans="1:16" x14ac:dyDescent="0.25">
      <c r="A163" s="1">
        <v>121</v>
      </c>
      <c r="B163" s="33"/>
      <c r="C163" s="66">
        <v>34242161</v>
      </c>
      <c r="D163" s="156">
        <v>59.2</v>
      </c>
      <c r="E163" s="5">
        <v>36.426000000000002</v>
      </c>
      <c r="F163" s="5">
        <v>36.868000000000002</v>
      </c>
      <c r="G163" s="5"/>
      <c r="H163" s="16">
        <f t="shared" si="18"/>
        <v>0</v>
      </c>
      <c r="I163" s="16">
        <f t="shared" ref="I163:I164" si="19">(((D163*0.015)*12)/7)</f>
        <v>1.5222857142857145</v>
      </c>
      <c r="J163" s="16">
        <f t="shared" ref="J163:J164" si="20">D163/($E$18-$E$20)*$J$17</f>
        <v>-0.43586282264028847</v>
      </c>
      <c r="K163" s="19">
        <f t="shared" si="11"/>
        <v>1.0864228916454259</v>
      </c>
      <c r="M163" s="13" t="s">
        <v>71</v>
      </c>
    </row>
    <row r="164" spans="1:16" x14ac:dyDescent="0.25">
      <c r="A164" s="1">
        <v>122</v>
      </c>
      <c r="B164" s="34"/>
      <c r="C164" s="66">
        <v>34242151</v>
      </c>
      <c r="D164" s="156">
        <v>78.099999999999994</v>
      </c>
      <c r="E164" s="5">
        <v>32.914999999999999</v>
      </c>
      <c r="F164" s="5">
        <v>33.633000000000003</v>
      </c>
      <c r="G164" s="5"/>
      <c r="H164" s="16">
        <f t="shared" si="18"/>
        <v>0</v>
      </c>
      <c r="I164" s="16">
        <f t="shared" si="19"/>
        <v>2.0082857142857136</v>
      </c>
      <c r="J164" s="16">
        <f t="shared" si="20"/>
        <v>-0.5750149737872724</v>
      </c>
      <c r="K164" s="19">
        <f t="shared" si="11"/>
        <v>1.4332707404984411</v>
      </c>
      <c r="M164" s="13" t="s">
        <v>71</v>
      </c>
    </row>
    <row r="165" spans="1:16" x14ac:dyDescent="0.25">
      <c r="A165" s="1">
        <v>123</v>
      </c>
      <c r="B165" s="47">
        <v>45748</v>
      </c>
      <c r="C165" s="66">
        <v>34242148</v>
      </c>
      <c r="D165" s="156">
        <v>85.2</v>
      </c>
      <c r="E165" s="5">
        <v>15.489000000000001</v>
      </c>
      <c r="F165" s="5">
        <v>15.585000000000001</v>
      </c>
      <c r="G165" s="5">
        <f>F165-E165</f>
        <v>9.6000000000000085E-2</v>
      </c>
      <c r="H165" s="16">
        <f t="shared" si="18"/>
        <v>8.2540800000000081E-2</v>
      </c>
      <c r="I165" s="16"/>
      <c r="J165" s="16"/>
      <c r="K165" s="19">
        <f t="shared" si="11"/>
        <v>8.2540800000000081E-2</v>
      </c>
      <c r="M165" s="13" t="s">
        <v>69</v>
      </c>
    </row>
    <row r="166" spans="1:16" x14ac:dyDescent="0.25">
      <c r="A166" s="1">
        <v>124</v>
      </c>
      <c r="B166" s="47">
        <v>45747</v>
      </c>
      <c r="C166" s="66">
        <v>34242163</v>
      </c>
      <c r="D166" s="156">
        <v>59.3</v>
      </c>
      <c r="E166" s="5">
        <v>36.911000000000001</v>
      </c>
      <c r="F166" s="5">
        <v>37.061999999999998</v>
      </c>
      <c r="G166" s="5">
        <f>F166-E166</f>
        <v>0.15099999999999625</v>
      </c>
      <c r="H166" s="16">
        <f t="shared" si="18"/>
        <v>0.12982979999999678</v>
      </c>
      <c r="I166" s="16"/>
      <c r="J166" s="16"/>
      <c r="K166" s="19">
        <f t="shared" si="11"/>
        <v>0.12982979999999678</v>
      </c>
      <c r="M166" s="13" t="s">
        <v>69</v>
      </c>
    </row>
    <row r="167" spans="1:16" x14ac:dyDescent="0.25">
      <c r="A167" s="1">
        <v>125</v>
      </c>
      <c r="B167" s="47">
        <v>45944</v>
      </c>
      <c r="C167" s="66">
        <v>34242153</v>
      </c>
      <c r="D167" s="156">
        <v>59.2</v>
      </c>
      <c r="E167" s="5">
        <v>44.176000000000002</v>
      </c>
      <c r="F167" s="5">
        <v>44.552</v>
      </c>
      <c r="G167" s="5">
        <f>F167-E167</f>
        <v>0.37599999999999767</v>
      </c>
      <c r="H167" s="16">
        <f t="shared" si="18"/>
        <v>0.32328479999999798</v>
      </c>
      <c r="I167" s="16"/>
      <c r="J167" s="16"/>
      <c r="K167" s="19">
        <f t="shared" si="11"/>
        <v>0.32328479999999798</v>
      </c>
      <c r="M167" s="13" t="s">
        <v>69</v>
      </c>
    </row>
    <row r="168" spans="1:16" x14ac:dyDescent="0.25">
      <c r="A168" s="1">
        <v>126</v>
      </c>
      <c r="B168" s="48">
        <v>45875</v>
      </c>
      <c r="C168" s="66">
        <v>20140213</v>
      </c>
      <c r="D168" s="156">
        <v>77.599999999999994</v>
      </c>
      <c r="E168" s="5">
        <v>6.8339999999999996</v>
      </c>
      <c r="F168" s="5">
        <v>6.8339999999999996</v>
      </c>
      <c r="G168" s="5">
        <f>F168-E168</f>
        <v>0</v>
      </c>
      <c r="H168" s="16">
        <f t="shared" si="18"/>
        <v>0</v>
      </c>
      <c r="I168" s="16"/>
      <c r="J168" s="16"/>
      <c r="K168" s="19">
        <f t="shared" si="11"/>
        <v>0</v>
      </c>
      <c r="M168" s="13" t="s">
        <v>69</v>
      </c>
    </row>
    <row r="169" spans="1:16" x14ac:dyDescent="0.25">
      <c r="A169" s="1">
        <v>127</v>
      </c>
      <c r="B169" s="33"/>
      <c r="C169" s="66">
        <v>34242152</v>
      </c>
      <c r="D169" s="156">
        <v>85.2</v>
      </c>
      <c r="E169" s="5">
        <v>82.522999999999996</v>
      </c>
      <c r="F169" s="5">
        <v>83.248000000000005</v>
      </c>
      <c r="G169" s="5"/>
      <c r="H169" s="16">
        <f t="shared" si="18"/>
        <v>0</v>
      </c>
      <c r="I169" s="16">
        <f>(((D169*0.015)*12)/7)</f>
        <v>2.1908571428571428</v>
      </c>
      <c r="J169" s="16">
        <f t="shared" ref="J169" si="21">D169/($E$18-$E$20)*$J$17</f>
        <v>-0.6272890623133881</v>
      </c>
      <c r="K169" s="19">
        <f t="shared" si="11"/>
        <v>1.5635680805437548</v>
      </c>
      <c r="M169" s="13" t="s">
        <v>71</v>
      </c>
    </row>
    <row r="170" spans="1:16" x14ac:dyDescent="0.25">
      <c r="A170" s="1">
        <v>128</v>
      </c>
      <c r="B170" s="47">
        <v>46165</v>
      </c>
      <c r="C170" s="66">
        <v>34242147</v>
      </c>
      <c r="D170" s="156">
        <v>58.9</v>
      </c>
      <c r="E170" s="5">
        <v>24.952999999999999</v>
      </c>
      <c r="F170" s="5">
        <v>25.292999999999999</v>
      </c>
      <c r="G170" s="5">
        <f>F170-E170</f>
        <v>0.33999999999999986</v>
      </c>
      <c r="H170" s="16">
        <f t="shared" si="18"/>
        <v>0.29233199999999987</v>
      </c>
      <c r="I170" s="16"/>
      <c r="J170" s="16"/>
      <c r="K170" s="19">
        <f t="shared" si="11"/>
        <v>0.29233199999999987</v>
      </c>
      <c r="M170" s="13" t="s">
        <v>69</v>
      </c>
    </row>
    <row r="171" spans="1:16" x14ac:dyDescent="0.25">
      <c r="A171" s="1">
        <v>129</v>
      </c>
      <c r="B171" s="47">
        <v>45984</v>
      </c>
      <c r="C171" s="66" t="s">
        <v>112</v>
      </c>
      <c r="D171" s="156">
        <v>58.6</v>
      </c>
      <c r="E171" s="39">
        <v>3.3180000000000001</v>
      </c>
      <c r="F171" s="39">
        <v>3.5550000000000002</v>
      </c>
      <c r="G171" s="5"/>
      <c r="H171" s="16">
        <f>F171-E171</f>
        <v>0.2370000000000001</v>
      </c>
      <c r="I171" s="16"/>
      <c r="J171" s="16"/>
      <c r="K171" s="19">
        <f t="shared" si="11"/>
        <v>0.2370000000000001</v>
      </c>
      <c r="M171" s="13" t="s">
        <v>69</v>
      </c>
    </row>
    <row r="172" spans="1:16" ht="15.75" thickBot="1" x14ac:dyDescent="0.3">
      <c r="A172" s="15">
        <v>130</v>
      </c>
      <c r="B172" s="48">
        <v>45875</v>
      </c>
      <c r="C172" s="68">
        <v>34242150</v>
      </c>
      <c r="D172" s="90">
        <v>77.599999999999994</v>
      </c>
      <c r="E172" s="8">
        <v>6.798</v>
      </c>
      <c r="F172" s="8">
        <v>6.798</v>
      </c>
      <c r="G172" s="5">
        <f>F172-E172</f>
        <v>0</v>
      </c>
      <c r="H172" s="16">
        <f>G172*0.8598</f>
        <v>0</v>
      </c>
      <c r="I172" s="16"/>
      <c r="J172" s="16"/>
      <c r="K172" s="19">
        <f t="shared" si="11"/>
        <v>0</v>
      </c>
      <c r="M172" s="13" t="s">
        <v>69</v>
      </c>
      <c r="O172" s="12"/>
      <c r="P172" s="12"/>
    </row>
    <row r="173" spans="1:16" ht="15.75" thickBot="1" x14ac:dyDescent="0.3">
      <c r="A173" s="219" t="s">
        <v>75</v>
      </c>
      <c r="B173" s="220"/>
      <c r="C173" s="220"/>
      <c r="D173" s="92">
        <f>SUM(D117:D172)</f>
        <v>3918.9999999999991</v>
      </c>
      <c r="E173" s="221" t="s">
        <v>76</v>
      </c>
      <c r="F173" s="221"/>
      <c r="G173" s="221"/>
      <c r="H173" s="64">
        <f>SUM(H117:H172)</f>
        <v>8.3930025999999991</v>
      </c>
      <c r="I173" s="64">
        <f>SUM(I117:I172)</f>
        <v>18.159428571428574</v>
      </c>
      <c r="J173" s="64">
        <f>SUM(J117:J172)</f>
        <v>-5.1994311714285768</v>
      </c>
      <c r="K173" s="93">
        <f>SUM(K117:K172)</f>
        <v>21.352999999999987</v>
      </c>
      <c r="M173" s="13"/>
    </row>
    <row r="174" spans="1:16" x14ac:dyDescent="0.25">
      <c r="A174" s="9">
        <v>131</v>
      </c>
      <c r="B174" s="105">
        <v>45957</v>
      </c>
      <c r="C174" s="69" t="s">
        <v>113</v>
      </c>
      <c r="D174" s="155">
        <v>84.1</v>
      </c>
      <c r="E174" s="6">
        <v>6.4009999999999998</v>
      </c>
      <c r="F174" s="6">
        <v>6.8630000000000004</v>
      </c>
      <c r="G174" s="6"/>
      <c r="H174" s="19">
        <f>F174-E174</f>
        <v>0.46200000000000063</v>
      </c>
      <c r="I174" s="19"/>
      <c r="J174" s="19"/>
      <c r="K174" s="19">
        <f>H174+I174+J174</f>
        <v>0.46200000000000063</v>
      </c>
      <c r="M174" s="13" t="s">
        <v>69</v>
      </c>
      <c r="O174" s="12"/>
    </row>
    <row r="175" spans="1:16" x14ac:dyDescent="0.25">
      <c r="A175" s="1">
        <v>132</v>
      </c>
      <c r="B175" s="47">
        <v>45915</v>
      </c>
      <c r="C175" s="66">
        <v>43242256</v>
      </c>
      <c r="D175" s="156">
        <v>56.3</v>
      </c>
      <c r="E175" s="5">
        <v>31.193000000000001</v>
      </c>
      <c r="F175" s="5">
        <v>31.318000000000001</v>
      </c>
      <c r="G175" s="5">
        <f>F175-E175</f>
        <v>0.125</v>
      </c>
      <c r="H175" s="16">
        <f t="shared" si="18"/>
        <v>0.107475</v>
      </c>
      <c r="I175" s="19"/>
      <c r="J175" s="16"/>
      <c r="K175" s="19">
        <f t="shared" ref="K175:K225" si="22">H175+I175+J175</f>
        <v>0.107475</v>
      </c>
      <c r="M175" s="13" t="s">
        <v>69</v>
      </c>
    </row>
    <row r="176" spans="1:16" x14ac:dyDescent="0.25">
      <c r="A176" s="1">
        <v>133</v>
      </c>
      <c r="B176" s="47">
        <v>45719</v>
      </c>
      <c r="C176" s="66">
        <v>43242235</v>
      </c>
      <c r="D176" s="156">
        <v>56.1</v>
      </c>
      <c r="E176" s="5">
        <v>13.827999999999999</v>
      </c>
      <c r="F176" s="5">
        <v>13.827999999999999</v>
      </c>
      <c r="G176" s="5">
        <f>F176-E176</f>
        <v>0</v>
      </c>
      <c r="H176" s="16">
        <f t="shared" si="18"/>
        <v>0</v>
      </c>
      <c r="I176" s="16"/>
      <c r="J176" s="16"/>
      <c r="K176" s="19">
        <f t="shared" si="22"/>
        <v>0</v>
      </c>
      <c r="M176" s="13" t="s">
        <v>69</v>
      </c>
    </row>
    <row r="177" spans="1:15" x14ac:dyDescent="0.25">
      <c r="A177" s="1">
        <v>134</v>
      </c>
      <c r="B177" s="47">
        <v>45825</v>
      </c>
      <c r="C177" s="66">
        <v>43242250</v>
      </c>
      <c r="D177" s="156">
        <v>85.2</v>
      </c>
      <c r="E177" s="5">
        <v>35.232999999999997</v>
      </c>
      <c r="F177" s="5">
        <v>35.442</v>
      </c>
      <c r="G177" s="5">
        <f>F177-E177</f>
        <v>0.20900000000000318</v>
      </c>
      <c r="H177" s="16">
        <f t="shared" si="18"/>
        <v>0.17969820000000275</v>
      </c>
      <c r="I177" s="19"/>
      <c r="J177" s="16"/>
      <c r="K177" s="19">
        <f t="shared" si="22"/>
        <v>0.17969820000000275</v>
      </c>
      <c r="M177" s="13" t="s">
        <v>69</v>
      </c>
    </row>
    <row r="178" spans="1:15" x14ac:dyDescent="0.25">
      <c r="A178" s="1">
        <v>135</v>
      </c>
      <c r="B178" s="47">
        <v>45941</v>
      </c>
      <c r="C178" s="66">
        <v>34242382</v>
      </c>
      <c r="D178" s="156">
        <v>84.4</v>
      </c>
      <c r="E178" s="5">
        <v>71.007000000000005</v>
      </c>
      <c r="F178" s="5">
        <v>72.432000000000002</v>
      </c>
      <c r="G178" s="5">
        <f>F178-E178</f>
        <v>1.4249999999999972</v>
      </c>
      <c r="H178" s="16">
        <f t="shared" si="18"/>
        <v>1.2252149999999975</v>
      </c>
      <c r="I178" s="19"/>
      <c r="J178" s="16"/>
      <c r="K178" s="19">
        <f t="shared" si="22"/>
        <v>1.2252149999999975</v>
      </c>
      <c r="M178" s="13" t="s">
        <v>69</v>
      </c>
    </row>
    <row r="179" spans="1:15" x14ac:dyDescent="0.25">
      <c r="A179" s="1">
        <v>136</v>
      </c>
      <c r="B179" s="33"/>
      <c r="C179" s="66">
        <v>43242379</v>
      </c>
      <c r="D179" s="156">
        <v>56.2</v>
      </c>
      <c r="E179" s="5">
        <v>43.692</v>
      </c>
      <c r="F179" s="5">
        <v>44.122999999999998</v>
      </c>
      <c r="G179" s="5"/>
      <c r="H179" s="16">
        <f t="shared" si="18"/>
        <v>0</v>
      </c>
      <c r="I179" s="16">
        <f>(((D179*0.015)*12)/7)</f>
        <v>1.4451428571428571</v>
      </c>
      <c r="J179" s="16">
        <f>D179/($E$25-$E$27)*$J$24</f>
        <v>-0.28299663315285306</v>
      </c>
      <c r="K179" s="19">
        <f t="shared" si="22"/>
        <v>1.162146223990004</v>
      </c>
      <c r="M179" s="13" t="s">
        <v>71</v>
      </c>
      <c r="O179" s="12"/>
    </row>
    <row r="180" spans="1:15" x14ac:dyDescent="0.25">
      <c r="A180" s="1">
        <v>137</v>
      </c>
      <c r="B180" s="47">
        <v>45580</v>
      </c>
      <c r="C180" s="66">
        <v>43242240</v>
      </c>
      <c r="D180" s="156">
        <v>55.7</v>
      </c>
      <c r="E180" s="5">
        <v>29.81</v>
      </c>
      <c r="F180" s="5">
        <v>30.05</v>
      </c>
      <c r="G180" s="5">
        <f>F180-E180</f>
        <v>0.24000000000000199</v>
      </c>
      <c r="H180" s="16">
        <f t="shared" si="18"/>
        <v>0.2063520000000017</v>
      </c>
      <c r="I180" s="19"/>
      <c r="J180" s="16"/>
      <c r="K180" s="19">
        <f>H180+I180+J180</f>
        <v>0.2063520000000017</v>
      </c>
      <c r="M180" s="13" t="s">
        <v>69</v>
      </c>
    </row>
    <row r="181" spans="1:15" x14ac:dyDescent="0.25">
      <c r="A181" s="1">
        <v>138</v>
      </c>
      <c r="B181" s="47">
        <v>45580</v>
      </c>
      <c r="C181" s="66">
        <v>43242241</v>
      </c>
      <c r="D181" s="156">
        <v>84.3</v>
      </c>
      <c r="E181" s="5">
        <v>61.067999999999998</v>
      </c>
      <c r="F181" s="5">
        <v>61.662999999999997</v>
      </c>
      <c r="G181" s="5">
        <f>F181-E181</f>
        <v>0.59499999999999886</v>
      </c>
      <c r="H181" s="16">
        <f t="shared" si="18"/>
        <v>0.51158099999999906</v>
      </c>
      <c r="I181" s="19"/>
      <c r="J181" s="16"/>
      <c r="K181" s="19">
        <f t="shared" si="22"/>
        <v>0.51158099999999906</v>
      </c>
      <c r="M181" s="13" t="s">
        <v>69</v>
      </c>
    </row>
    <row r="182" spans="1:15" x14ac:dyDescent="0.25">
      <c r="A182" s="1">
        <v>139</v>
      </c>
      <c r="B182" s="47">
        <v>45725</v>
      </c>
      <c r="C182" s="66">
        <v>34242385</v>
      </c>
      <c r="D182" s="156">
        <v>84</v>
      </c>
      <c r="E182" s="5">
        <v>10.619</v>
      </c>
      <c r="F182" s="5">
        <v>10.619</v>
      </c>
      <c r="G182" s="5">
        <f>F182-E182</f>
        <v>0</v>
      </c>
      <c r="H182" s="16">
        <f t="shared" si="18"/>
        <v>0</v>
      </c>
      <c r="I182" s="16"/>
      <c r="J182" s="16"/>
      <c r="K182" s="19">
        <f>H182+I182+J182</f>
        <v>0</v>
      </c>
      <c r="M182" s="13" t="s">
        <v>69</v>
      </c>
    </row>
    <row r="183" spans="1:15" x14ac:dyDescent="0.25">
      <c r="A183" s="1">
        <v>140</v>
      </c>
      <c r="B183" s="47">
        <v>45928</v>
      </c>
      <c r="C183" s="10" t="s">
        <v>103</v>
      </c>
      <c r="D183" s="156">
        <v>55.6</v>
      </c>
      <c r="E183" s="5">
        <v>5.66</v>
      </c>
      <c r="F183" s="5">
        <v>6.0259999999999998</v>
      </c>
      <c r="G183" s="5"/>
      <c r="H183" s="16">
        <f>F183-E183</f>
        <v>0.36599999999999966</v>
      </c>
      <c r="I183" s="19"/>
      <c r="J183" s="16"/>
      <c r="K183" s="19">
        <f t="shared" si="22"/>
        <v>0.36599999999999966</v>
      </c>
      <c r="M183" s="13" t="s">
        <v>69</v>
      </c>
    </row>
    <row r="184" spans="1:15" x14ac:dyDescent="0.25">
      <c r="A184" s="1">
        <v>141</v>
      </c>
      <c r="B184" s="47">
        <v>46273</v>
      </c>
      <c r="C184" s="66">
        <v>34242390</v>
      </c>
      <c r="D184" s="156">
        <v>56.4</v>
      </c>
      <c r="E184" s="5">
        <v>19.802</v>
      </c>
      <c r="F184" s="5">
        <v>19.802</v>
      </c>
      <c r="G184" s="5">
        <f>F184-E184</f>
        <v>0</v>
      </c>
      <c r="H184" s="16">
        <f>G184*0.8598</f>
        <v>0</v>
      </c>
      <c r="I184" s="16"/>
      <c r="J184" s="16"/>
      <c r="K184" s="19">
        <f t="shared" si="22"/>
        <v>0</v>
      </c>
      <c r="M184" s="13" t="s">
        <v>69</v>
      </c>
      <c r="O184" s="12"/>
    </row>
    <row r="185" spans="1:15" x14ac:dyDescent="0.25">
      <c r="A185" s="1">
        <v>142</v>
      </c>
      <c r="B185" s="33" t="s">
        <v>147</v>
      </c>
      <c r="C185" s="10" t="s">
        <v>77</v>
      </c>
      <c r="D185" s="156">
        <v>84.1</v>
      </c>
      <c r="E185" s="39">
        <v>4.8789999999999996</v>
      </c>
      <c r="F185" s="39">
        <v>4.9370000000000003</v>
      </c>
      <c r="G185" s="5"/>
      <c r="H185" s="16">
        <f>F185-E185</f>
        <v>5.8000000000000718E-2</v>
      </c>
      <c r="I185" s="19"/>
      <c r="J185" s="16"/>
      <c r="K185" s="19">
        <f t="shared" si="22"/>
        <v>5.8000000000000718E-2</v>
      </c>
      <c r="M185" s="13" t="s">
        <v>69</v>
      </c>
    </row>
    <row r="186" spans="1:15" x14ac:dyDescent="0.25">
      <c r="A186" s="1">
        <v>143</v>
      </c>
      <c r="B186" s="47">
        <v>45915</v>
      </c>
      <c r="C186" s="66">
        <v>34242383</v>
      </c>
      <c r="D186" s="156">
        <v>83.5</v>
      </c>
      <c r="E186" s="5">
        <v>38.877000000000002</v>
      </c>
      <c r="F186" s="5">
        <v>39.286000000000001</v>
      </c>
      <c r="G186" s="5">
        <f>F186-E186</f>
        <v>0.40899999999999892</v>
      </c>
      <c r="H186" s="16">
        <f t="shared" ref="H186:H214" si="23">G186*0.8598</f>
        <v>0.35165819999999909</v>
      </c>
      <c r="I186" s="19"/>
      <c r="J186" s="16"/>
      <c r="K186" s="19">
        <f t="shared" si="22"/>
        <v>0.35165819999999909</v>
      </c>
      <c r="M186" s="13" t="s">
        <v>69</v>
      </c>
    </row>
    <row r="187" spans="1:15" x14ac:dyDescent="0.25">
      <c r="A187" s="1">
        <v>144</v>
      </c>
      <c r="B187" s="34"/>
      <c r="C187" s="66">
        <v>34242379</v>
      </c>
      <c r="D187" s="156">
        <v>56.3</v>
      </c>
      <c r="E187" s="5">
        <v>25.3</v>
      </c>
      <c r="F187" s="5">
        <v>25.323</v>
      </c>
      <c r="G187" s="5"/>
      <c r="H187" s="16">
        <f t="shared" si="23"/>
        <v>0</v>
      </c>
      <c r="I187" s="16">
        <f>(((D187*0.015)*12)/7)</f>
        <v>1.4477142857142855</v>
      </c>
      <c r="J187" s="16">
        <f>D187/($E$25-$E$27)*$J$24</f>
        <v>-0.28350018588088299</v>
      </c>
      <c r="K187" s="19">
        <f t="shared" si="22"/>
        <v>1.1642140998334025</v>
      </c>
      <c r="M187" s="13" t="s">
        <v>71</v>
      </c>
      <c r="O187" s="12"/>
    </row>
    <row r="188" spans="1:15" x14ac:dyDescent="0.25">
      <c r="A188" s="1">
        <v>145</v>
      </c>
      <c r="B188" s="47">
        <v>45829</v>
      </c>
      <c r="C188" s="66">
        <v>34242386</v>
      </c>
      <c r="D188" s="156">
        <v>56.6</v>
      </c>
      <c r="E188" s="5">
        <v>21.779</v>
      </c>
      <c r="F188" s="5">
        <v>21.779</v>
      </c>
      <c r="G188" s="5">
        <f>F188-E188</f>
        <v>0</v>
      </c>
      <c r="H188" s="16">
        <f t="shared" si="23"/>
        <v>0</v>
      </c>
      <c r="I188" s="19"/>
      <c r="J188" s="16"/>
      <c r="K188" s="19">
        <f t="shared" si="22"/>
        <v>0</v>
      </c>
      <c r="M188" s="13" t="s">
        <v>69</v>
      </c>
    </row>
    <row r="189" spans="1:15" x14ac:dyDescent="0.25">
      <c r="A189" s="1">
        <v>146</v>
      </c>
      <c r="B189" s="47">
        <v>45829</v>
      </c>
      <c r="C189" s="66">
        <v>34242384</v>
      </c>
      <c r="D189" s="156">
        <v>84.3</v>
      </c>
      <c r="E189" s="5">
        <v>25.03</v>
      </c>
      <c r="F189" s="5">
        <v>25.34</v>
      </c>
      <c r="G189" s="5">
        <f>F189-E189</f>
        <v>0.30999999999999872</v>
      </c>
      <c r="H189" s="16">
        <f t="shared" si="23"/>
        <v>0.26653799999999889</v>
      </c>
      <c r="I189" s="16"/>
      <c r="J189" s="16"/>
      <c r="K189" s="19">
        <f t="shared" si="22"/>
        <v>0.26653799999999889</v>
      </c>
      <c r="M189" s="13" t="s">
        <v>69</v>
      </c>
    </row>
    <row r="190" spans="1:15" x14ac:dyDescent="0.25">
      <c r="A190" s="1">
        <v>147</v>
      </c>
      <c r="B190" s="47">
        <v>45753</v>
      </c>
      <c r="C190" s="66">
        <v>34242301</v>
      </c>
      <c r="D190" s="156">
        <v>84.7</v>
      </c>
      <c r="E190" s="5">
        <v>37.466000000000001</v>
      </c>
      <c r="F190" s="5">
        <v>37.819000000000003</v>
      </c>
      <c r="G190" s="5">
        <f>F190-E190</f>
        <v>0.35300000000000153</v>
      </c>
      <c r="H190" s="16">
        <f t="shared" si="23"/>
        <v>0.30350940000000132</v>
      </c>
      <c r="I190" s="19"/>
      <c r="J190" s="16"/>
      <c r="K190" s="19">
        <f t="shared" si="22"/>
        <v>0.30350940000000132</v>
      </c>
      <c r="M190" s="13" t="s">
        <v>69</v>
      </c>
    </row>
    <row r="191" spans="1:15" x14ac:dyDescent="0.25">
      <c r="A191" s="1">
        <v>148</v>
      </c>
      <c r="B191" s="47">
        <v>45899</v>
      </c>
      <c r="C191" s="66">
        <v>34242298</v>
      </c>
      <c r="D191" s="156">
        <v>56.4</v>
      </c>
      <c r="E191" s="5">
        <v>27.303999999999998</v>
      </c>
      <c r="F191" s="5">
        <v>27.687000000000001</v>
      </c>
      <c r="G191" s="5">
        <f>F191-E191</f>
        <v>0.38300000000000267</v>
      </c>
      <c r="H191" s="16">
        <f t="shared" si="23"/>
        <v>0.3293034000000023</v>
      </c>
      <c r="I191" s="19"/>
      <c r="J191" s="16"/>
      <c r="K191" s="19">
        <f t="shared" si="22"/>
        <v>0.3293034000000023</v>
      </c>
      <c r="M191" s="13" t="s">
        <v>69</v>
      </c>
    </row>
    <row r="192" spans="1:15" x14ac:dyDescent="0.25">
      <c r="A192" s="1">
        <v>149</v>
      </c>
      <c r="B192" s="33"/>
      <c r="C192" s="66">
        <v>34242302</v>
      </c>
      <c r="D192" s="156">
        <v>56.7</v>
      </c>
      <c r="E192" s="5">
        <v>28.53</v>
      </c>
      <c r="F192" s="5">
        <v>28.379000000000001</v>
      </c>
      <c r="G192" s="5"/>
      <c r="H192" s="16">
        <f t="shared" si="23"/>
        <v>0</v>
      </c>
      <c r="I192" s="16">
        <f>(((D192*0.015)*12)/7)</f>
        <v>1.458</v>
      </c>
      <c r="J192" s="16">
        <f>D192/($E$25-$E$27)*$J$24</f>
        <v>-0.285514396793003</v>
      </c>
      <c r="K192" s="19">
        <f t="shared" si="22"/>
        <v>1.172485603206997</v>
      </c>
      <c r="M192" s="13" t="s">
        <v>71</v>
      </c>
      <c r="O192" s="12"/>
    </row>
    <row r="193" spans="1:16" x14ac:dyDescent="0.25">
      <c r="A193" s="1">
        <v>150</v>
      </c>
      <c r="B193" s="47">
        <v>45873</v>
      </c>
      <c r="C193" s="66">
        <v>34242299</v>
      </c>
      <c r="D193" s="156">
        <v>84.6</v>
      </c>
      <c r="E193" s="5">
        <v>21.268000000000001</v>
      </c>
      <c r="F193" s="5">
        <v>21.268000000000001</v>
      </c>
      <c r="G193" s="5">
        <f>F193-E193</f>
        <v>0</v>
      </c>
      <c r="H193" s="16">
        <f t="shared" si="23"/>
        <v>0</v>
      </c>
      <c r="I193" s="16"/>
      <c r="J193" s="16"/>
      <c r="K193" s="19">
        <f t="shared" si="22"/>
        <v>0</v>
      </c>
      <c r="M193" s="13" t="s">
        <v>69</v>
      </c>
    </row>
    <row r="194" spans="1:16" x14ac:dyDescent="0.25">
      <c r="A194" s="1">
        <v>151</v>
      </c>
      <c r="B194" s="47">
        <v>45937</v>
      </c>
      <c r="C194" s="66">
        <v>34242300</v>
      </c>
      <c r="D194" s="156">
        <v>84.6</v>
      </c>
      <c r="E194" s="5">
        <v>35.195</v>
      </c>
      <c r="F194" s="5">
        <v>35.195999999999998</v>
      </c>
      <c r="G194" s="5">
        <f>F194-E194</f>
        <v>9.9999999999766942E-4</v>
      </c>
      <c r="H194" s="16">
        <f t="shared" si="23"/>
        <v>8.5979999999799615E-4</v>
      </c>
      <c r="I194" s="19"/>
      <c r="J194" s="16"/>
      <c r="K194" s="19">
        <f t="shared" si="22"/>
        <v>8.5979999999799615E-4</v>
      </c>
      <c r="M194" s="13" t="s">
        <v>69</v>
      </c>
    </row>
    <row r="195" spans="1:16" x14ac:dyDescent="0.25">
      <c r="A195" s="1">
        <v>152</v>
      </c>
      <c r="B195" s="47">
        <v>45593</v>
      </c>
      <c r="C195" s="10" t="s">
        <v>94</v>
      </c>
      <c r="D195" s="156">
        <v>56.3</v>
      </c>
      <c r="E195" s="39">
        <v>0.54420000000000002</v>
      </c>
      <c r="F195" s="39">
        <v>0.54420000000000002</v>
      </c>
      <c r="G195" s="5"/>
      <c r="H195" s="16">
        <f>F195-E195</f>
        <v>0</v>
      </c>
      <c r="I195" s="19"/>
      <c r="J195" s="16"/>
      <c r="K195" s="19">
        <f>H195+I195+J195</f>
        <v>0</v>
      </c>
      <c r="M195" s="13" t="s">
        <v>69</v>
      </c>
    </row>
    <row r="196" spans="1:16" x14ac:dyDescent="0.25">
      <c r="A196" s="1">
        <v>153</v>
      </c>
      <c r="B196" s="47">
        <v>45594</v>
      </c>
      <c r="C196" s="10" t="s">
        <v>92</v>
      </c>
      <c r="D196" s="156">
        <v>56.9</v>
      </c>
      <c r="E196" s="39">
        <v>0.69750000000000001</v>
      </c>
      <c r="F196" s="39">
        <v>0.751</v>
      </c>
      <c r="G196" s="5"/>
      <c r="H196" s="16">
        <f>F196-E196</f>
        <v>5.3499999999999992E-2</v>
      </c>
      <c r="I196" s="19"/>
      <c r="J196" s="16"/>
      <c r="K196" s="19">
        <f t="shared" si="22"/>
        <v>5.3499999999999992E-2</v>
      </c>
      <c r="M196" s="13" t="s">
        <v>69</v>
      </c>
    </row>
    <row r="197" spans="1:16" x14ac:dyDescent="0.25">
      <c r="A197" s="1">
        <v>154</v>
      </c>
      <c r="B197" s="47">
        <v>46000</v>
      </c>
      <c r="C197" s="66">
        <v>34242305</v>
      </c>
      <c r="D197" s="156">
        <v>85.7</v>
      </c>
      <c r="E197" s="5">
        <v>30.547999999999998</v>
      </c>
      <c r="F197" s="5">
        <v>31.238</v>
      </c>
      <c r="G197" s="5">
        <f>F197-E197</f>
        <v>0.69000000000000128</v>
      </c>
      <c r="H197" s="16">
        <f t="shared" si="23"/>
        <v>0.59326200000000107</v>
      </c>
      <c r="I197" s="16"/>
      <c r="J197" s="16"/>
      <c r="K197" s="19">
        <f t="shared" si="22"/>
        <v>0.59326200000000107</v>
      </c>
      <c r="M197" s="13" t="s">
        <v>69</v>
      </c>
      <c r="O197" s="12"/>
      <c r="P197" s="12"/>
    </row>
    <row r="198" spans="1:16" x14ac:dyDescent="0.25">
      <c r="A198" s="1">
        <v>155</v>
      </c>
      <c r="B198" s="47">
        <v>46155</v>
      </c>
      <c r="C198" s="66" t="s">
        <v>148</v>
      </c>
      <c r="D198" s="156">
        <v>84.9</v>
      </c>
      <c r="E198" s="5">
        <v>0</v>
      </c>
      <c r="F198" s="5">
        <v>0.20899999999999999</v>
      </c>
      <c r="G198" s="5"/>
      <c r="H198" s="16">
        <f>F198-E198</f>
        <v>0.20899999999999999</v>
      </c>
      <c r="I198" s="16"/>
      <c r="J198" s="16"/>
      <c r="K198" s="19">
        <f t="shared" si="22"/>
        <v>0.20899999999999999</v>
      </c>
      <c r="M198" s="13" t="s">
        <v>69</v>
      </c>
    </row>
    <row r="199" spans="1:16" x14ac:dyDescent="0.25">
      <c r="A199" s="1">
        <v>156</v>
      </c>
      <c r="B199" s="47">
        <v>46045</v>
      </c>
      <c r="C199" s="66">
        <v>34242320</v>
      </c>
      <c r="D199" s="156">
        <v>56.8</v>
      </c>
      <c r="E199" s="5">
        <v>42.906999999999996</v>
      </c>
      <c r="F199" s="5">
        <v>43.014000000000003</v>
      </c>
      <c r="G199" s="5">
        <f t="shared" ref="G199:G204" si="24">F199-E199</f>
        <v>0.10700000000000642</v>
      </c>
      <c r="H199" s="16">
        <f t="shared" si="23"/>
        <v>9.1998600000005523E-2</v>
      </c>
      <c r="I199" s="16"/>
      <c r="J199" s="16"/>
      <c r="K199" s="19">
        <f t="shared" si="22"/>
        <v>9.1998600000005523E-2</v>
      </c>
      <c r="M199" s="13" t="s">
        <v>69</v>
      </c>
    </row>
    <row r="200" spans="1:16" x14ac:dyDescent="0.25">
      <c r="A200" s="1">
        <v>157</v>
      </c>
      <c r="B200" s="47">
        <v>45934</v>
      </c>
      <c r="C200" s="66">
        <v>34242321</v>
      </c>
      <c r="D200" s="156">
        <v>57.1</v>
      </c>
      <c r="E200" s="5">
        <v>41.847000000000001</v>
      </c>
      <c r="F200" s="5">
        <v>42.371000000000002</v>
      </c>
      <c r="G200" s="5">
        <f t="shared" si="24"/>
        <v>0.52400000000000091</v>
      </c>
      <c r="H200" s="16">
        <f t="shared" si="23"/>
        <v>0.4505352000000008</v>
      </c>
      <c r="I200" s="19"/>
      <c r="J200" s="16"/>
      <c r="K200" s="19">
        <f t="shared" si="22"/>
        <v>0.4505352000000008</v>
      </c>
      <c r="M200" s="13" t="s">
        <v>69</v>
      </c>
    </row>
    <row r="201" spans="1:16" x14ac:dyDescent="0.25">
      <c r="A201" s="1">
        <v>158</v>
      </c>
      <c r="B201" s="47">
        <v>46279</v>
      </c>
      <c r="C201" s="66">
        <v>34242304</v>
      </c>
      <c r="D201" s="156">
        <v>85.5</v>
      </c>
      <c r="E201" s="5">
        <v>49.564999999999998</v>
      </c>
      <c r="F201" s="5">
        <v>49.828000000000003</v>
      </c>
      <c r="G201" s="5">
        <f t="shared" si="24"/>
        <v>0.26300000000000523</v>
      </c>
      <c r="H201" s="16">
        <f t="shared" si="23"/>
        <v>0.2261274000000045</v>
      </c>
      <c r="I201" s="16"/>
      <c r="J201" s="16"/>
      <c r="K201" s="19">
        <f t="shared" si="22"/>
        <v>0.2261274000000045</v>
      </c>
      <c r="M201" s="13" t="s">
        <v>69</v>
      </c>
      <c r="O201" s="12"/>
    </row>
    <row r="202" spans="1:16" x14ac:dyDescent="0.25">
      <c r="A202" s="1">
        <v>159</v>
      </c>
      <c r="B202" s="47">
        <v>45907</v>
      </c>
      <c r="C202" s="66">
        <v>34242308</v>
      </c>
      <c r="D202" s="156">
        <v>84.6</v>
      </c>
      <c r="E202" s="74">
        <v>46.273000000000003</v>
      </c>
      <c r="F202" s="74">
        <v>46.447000000000003</v>
      </c>
      <c r="G202" s="5">
        <f t="shared" si="24"/>
        <v>0.17399999999999949</v>
      </c>
      <c r="H202" s="16">
        <f t="shared" si="23"/>
        <v>0.14960519999999955</v>
      </c>
      <c r="I202" s="16"/>
      <c r="J202" s="16"/>
      <c r="K202" s="19">
        <f t="shared" si="22"/>
        <v>0.14960519999999955</v>
      </c>
      <c r="M202" s="13" t="s">
        <v>69</v>
      </c>
    </row>
    <row r="203" spans="1:16" x14ac:dyDescent="0.25">
      <c r="A203" s="1">
        <v>160</v>
      </c>
      <c r="B203" s="47">
        <v>45753</v>
      </c>
      <c r="C203" s="66">
        <v>34242307</v>
      </c>
      <c r="D203" s="156">
        <v>56.3</v>
      </c>
      <c r="E203" s="5">
        <v>6.5410000000000004</v>
      </c>
      <c r="F203" s="5">
        <v>6.5449999999999999</v>
      </c>
      <c r="G203" s="5">
        <f t="shared" si="24"/>
        <v>3.9999999999995595E-3</v>
      </c>
      <c r="H203" s="16">
        <f t="shared" si="23"/>
        <v>3.4391999999996213E-3</v>
      </c>
      <c r="I203" s="16"/>
      <c r="J203" s="16"/>
      <c r="K203" s="19">
        <f t="shared" si="22"/>
        <v>3.4391999999996213E-3</v>
      </c>
      <c r="M203" s="13" t="s">
        <v>69</v>
      </c>
    </row>
    <row r="204" spans="1:16" x14ac:dyDescent="0.25">
      <c r="A204" s="1">
        <v>161</v>
      </c>
      <c r="B204" s="47">
        <v>45934</v>
      </c>
      <c r="C204" s="66">
        <v>34242312</v>
      </c>
      <c r="D204" s="156">
        <v>56.8</v>
      </c>
      <c r="E204" s="5">
        <v>10.661</v>
      </c>
      <c r="F204" s="5">
        <v>10.662000000000001</v>
      </c>
      <c r="G204" s="5">
        <f t="shared" si="24"/>
        <v>1.0000000000012221E-3</v>
      </c>
      <c r="H204" s="16">
        <f t="shared" si="23"/>
        <v>8.5980000000105078E-4</v>
      </c>
      <c r="I204" s="16"/>
      <c r="J204" s="16"/>
      <c r="K204" s="19">
        <f t="shared" si="22"/>
        <v>8.5980000000105078E-4</v>
      </c>
      <c r="M204" s="13" t="s">
        <v>69</v>
      </c>
    </row>
    <row r="205" spans="1:16" x14ac:dyDescent="0.25">
      <c r="A205" s="1">
        <v>162</v>
      </c>
      <c r="B205" s="47">
        <v>47017</v>
      </c>
      <c r="C205" s="66" t="s">
        <v>157</v>
      </c>
      <c r="D205" s="156">
        <v>85.2</v>
      </c>
      <c r="E205" s="5">
        <v>0</v>
      </c>
      <c r="F205" s="5">
        <v>0.214</v>
      </c>
      <c r="G205" s="5"/>
      <c r="H205" s="16">
        <f>F205-E205</f>
        <v>0.214</v>
      </c>
      <c r="I205" s="16"/>
      <c r="J205" s="16"/>
      <c r="K205" s="19">
        <f t="shared" si="22"/>
        <v>0.214</v>
      </c>
      <c r="M205" s="13" t="s">
        <v>69</v>
      </c>
      <c r="O205" s="12"/>
    </row>
    <row r="206" spans="1:16" x14ac:dyDescent="0.25">
      <c r="A206" s="1">
        <v>163</v>
      </c>
      <c r="B206" s="47">
        <v>45704</v>
      </c>
      <c r="C206" s="66">
        <v>34242188</v>
      </c>
      <c r="D206" s="156">
        <v>84.4</v>
      </c>
      <c r="E206" s="5">
        <v>5.327</v>
      </c>
      <c r="F206" s="5">
        <v>5.327</v>
      </c>
      <c r="G206" s="5">
        <f>F206-E206</f>
        <v>0</v>
      </c>
      <c r="H206" s="16">
        <f>G206*0.8598</f>
        <v>0</v>
      </c>
      <c r="I206" s="16"/>
      <c r="J206" s="16"/>
      <c r="K206" s="19">
        <f t="shared" si="22"/>
        <v>0</v>
      </c>
      <c r="M206" s="13" t="s">
        <v>69</v>
      </c>
    </row>
    <row r="207" spans="1:16" x14ac:dyDescent="0.25">
      <c r="A207" s="1">
        <v>164</v>
      </c>
      <c r="B207" s="47">
        <v>45748</v>
      </c>
      <c r="C207" s="66">
        <v>34242185</v>
      </c>
      <c r="D207" s="156">
        <v>55.9</v>
      </c>
      <c r="E207" s="5">
        <v>23.081</v>
      </c>
      <c r="F207" s="5">
        <v>23.283000000000001</v>
      </c>
      <c r="G207" s="5">
        <f>F207-E207</f>
        <v>0.20200000000000173</v>
      </c>
      <c r="H207" s="16">
        <f>G207*0.8598</f>
        <v>0.17367960000000149</v>
      </c>
      <c r="I207" s="19"/>
      <c r="J207" s="16"/>
      <c r="K207" s="19">
        <f>H207+I207+J207</f>
        <v>0.17367960000000149</v>
      </c>
      <c r="M207" s="13" t="s">
        <v>69</v>
      </c>
    </row>
    <row r="208" spans="1:16" x14ac:dyDescent="0.25">
      <c r="A208" s="1">
        <v>165</v>
      </c>
      <c r="B208" s="47">
        <v>45748</v>
      </c>
      <c r="C208" s="66">
        <v>43441088</v>
      </c>
      <c r="D208" s="156">
        <v>56.7</v>
      </c>
      <c r="E208" s="5">
        <v>22.675000000000001</v>
      </c>
      <c r="F208" s="5">
        <v>22.882999999999999</v>
      </c>
      <c r="G208" s="5">
        <f>F208-E208</f>
        <v>0.20799999999999841</v>
      </c>
      <c r="H208" s="16">
        <f t="shared" si="23"/>
        <v>0.17883839999999862</v>
      </c>
      <c r="I208" s="19"/>
      <c r="J208" s="16"/>
      <c r="K208" s="19">
        <f t="shared" si="22"/>
        <v>0.17883839999999862</v>
      </c>
      <c r="M208" s="13" t="s">
        <v>69</v>
      </c>
    </row>
    <row r="209" spans="1:15" x14ac:dyDescent="0.25">
      <c r="A209" s="1">
        <v>166</v>
      </c>
      <c r="B209" s="47">
        <v>45795</v>
      </c>
      <c r="C209" s="66">
        <v>34242310</v>
      </c>
      <c r="D209" s="156">
        <v>85.2</v>
      </c>
      <c r="E209" s="5">
        <v>36.799999999999997</v>
      </c>
      <c r="F209" s="5">
        <v>36.799999999999997</v>
      </c>
      <c r="G209" s="5">
        <f>F209-E209</f>
        <v>0</v>
      </c>
      <c r="H209" s="16">
        <f>G209*0.8598</f>
        <v>0</v>
      </c>
      <c r="I209" s="19"/>
      <c r="J209" s="16"/>
      <c r="K209" s="19">
        <f t="shared" si="22"/>
        <v>0</v>
      </c>
      <c r="M209" s="13" t="s">
        <v>69</v>
      </c>
    </row>
    <row r="210" spans="1:15" x14ac:dyDescent="0.25">
      <c r="A210" s="1">
        <v>167</v>
      </c>
      <c r="B210" s="33"/>
      <c r="C210" s="66">
        <v>34242187</v>
      </c>
      <c r="D210" s="156">
        <v>84.9</v>
      </c>
      <c r="E210" s="5">
        <v>62.015000000000001</v>
      </c>
      <c r="F210" s="5">
        <v>62.914000000000001</v>
      </c>
      <c r="G210" s="5"/>
      <c r="H210" s="16">
        <f t="shared" si="23"/>
        <v>0</v>
      </c>
      <c r="I210" s="16">
        <f t="shared" ref="I210:I211" si="25">(((D210*0.015)*12)/7)</f>
        <v>2.1831428571428573</v>
      </c>
      <c r="J210" s="16">
        <f t="shared" ref="J210:J211" si="26">D210/($E$25-$E$27)*$J$24</f>
        <v>-0.42751626609745952</v>
      </c>
      <c r="K210" s="19">
        <f t="shared" si="22"/>
        <v>1.7556265910453979</v>
      </c>
      <c r="M210" s="13" t="s">
        <v>71</v>
      </c>
      <c r="O210" s="12"/>
    </row>
    <row r="211" spans="1:15" x14ac:dyDescent="0.25">
      <c r="A211" s="1">
        <v>168</v>
      </c>
      <c r="B211" s="33"/>
      <c r="C211" s="66">
        <v>34242189</v>
      </c>
      <c r="D211" s="156">
        <v>56.4</v>
      </c>
      <c r="E211" s="5">
        <v>5.01</v>
      </c>
      <c r="F211" s="5">
        <v>5.01</v>
      </c>
      <c r="G211" s="5"/>
      <c r="H211" s="16">
        <f t="shared" si="23"/>
        <v>0</v>
      </c>
      <c r="I211" s="16">
        <f t="shared" si="25"/>
        <v>1.4502857142857142</v>
      </c>
      <c r="J211" s="16">
        <f t="shared" si="26"/>
        <v>-0.28400373860891298</v>
      </c>
      <c r="K211" s="19">
        <f t="shared" si="22"/>
        <v>1.1662819756768013</v>
      </c>
      <c r="M211" s="13" t="s">
        <v>71</v>
      </c>
      <c r="O211" s="12"/>
    </row>
    <row r="212" spans="1:15" x14ac:dyDescent="0.25">
      <c r="A212" s="1">
        <v>169</v>
      </c>
      <c r="B212" s="47">
        <v>46000</v>
      </c>
      <c r="C212" s="66">
        <v>34242191</v>
      </c>
      <c r="D212" s="156">
        <v>57</v>
      </c>
      <c r="E212" s="5">
        <v>27.56</v>
      </c>
      <c r="F212" s="5">
        <v>27.850999999999999</v>
      </c>
      <c r="G212" s="5">
        <f>F212-E212</f>
        <v>0.29100000000000037</v>
      </c>
      <c r="H212" s="16">
        <f t="shared" si="23"/>
        <v>0.25020180000000031</v>
      </c>
      <c r="I212" s="16"/>
      <c r="J212" s="16"/>
      <c r="K212" s="19">
        <f t="shared" si="22"/>
        <v>0.25020180000000031</v>
      </c>
      <c r="M212" s="13" t="s">
        <v>69</v>
      </c>
      <c r="O212" s="12"/>
    </row>
    <row r="213" spans="1:15" x14ac:dyDescent="0.25">
      <c r="A213" s="1">
        <v>170</v>
      </c>
      <c r="B213" s="47">
        <v>45608</v>
      </c>
      <c r="C213" s="66">
        <v>34242190</v>
      </c>
      <c r="D213" s="156">
        <v>85.3</v>
      </c>
      <c r="E213" s="5">
        <v>44.521000000000001</v>
      </c>
      <c r="F213" s="5">
        <v>44.86</v>
      </c>
      <c r="G213" s="5">
        <f>F213-E213</f>
        <v>0.33899999999999864</v>
      </c>
      <c r="H213" s="16">
        <f t="shared" si="23"/>
        <v>0.29147219999999885</v>
      </c>
      <c r="I213" s="19"/>
      <c r="J213" s="16"/>
      <c r="K213" s="19">
        <f t="shared" si="22"/>
        <v>0.29147219999999885</v>
      </c>
      <c r="M213" s="13" t="s">
        <v>69</v>
      </c>
    </row>
    <row r="214" spans="1:15" x14ac:dyDescent="0.25">
      <c r="A214" s="1">
        <v>171</v>
      </c>
      <c r="B214" s="47">
        <v>45866</v>
      </c>
      <c r="C214" s="66">
        <v>34242184</v>
      </c>
      <c r="D214" s="156">
        <v>84.3</v>
      </c>
      <c r="E214" s="5">
        <v>7.931</v>
      </c>
      <c r="F214" s="5">
        <v>7.931</v>
      </c>
      <c r="G214" s="5">
        <f>F214-E214</f>
        <v>0</v>
      </c>
      <c r="H214" s="16">
        <f t="shared" si="23"/>
        <v>0</v>
      </c>
      <c r="I214" s="16"/>
      <c r="J214" s="16"/>
      <c r="K214" s="19">
        <f t="shared" si="22"/>
        <v>0</v>
      </c>
      <c r="M214" s="13" t="s">
        <v>69</v>
      </c>
    </row>
    <row r="215" spans="1:15" x14ac:dyDescent="0.25">
      <c r="A215" s="1">
        <v>172</v>
      </c>
      <c r="B215" s="47">
        <v>45553</v>
      </c>
      <c r="C215" s="10" t="s">
        <v>88</v>
      </c>
      <c r="D215" s="156">
        <v>56.4</v>
      </c>
      <c r="E215" s="39">
        <v>1.4670000000000001</v>
      </c>
      <c r="F215" s="39">
        <v>1.4670000000000001</v>
      </c>
      <c r="G215" s="5"/>
      <c r="H215" s="16">
        <f>F215-E215</f>
        <v>0</v>
      </c>
      <c r="I215" s="19"/>
      <c r="J215" s="16"/>
      <c r="K215" s="19">
        <f t="shared" si="22"/>
        <v>0</v>
      </c>
      <c r="M215" s="13" t="s">
        <v>69</v>
      </c>
    </row>
    <row r="216" spans="1:15" x14ac:dyDescent="0.25">
      <c r="A216" s="1">
        <v>173</v>
      </c>
      <c r="B216" s="33"/>
      <c r="C216" s="66">
        <v>34242186</v>
      </c>
      <c r="D216" s="156">
        <v>56.9</v>
      </c>
      <c r="E216" s="5">
        <v>31.58</v>
      </c>
      <c r="F216" s="5">
        <v>32.030999999999999</v>
      </c>
      <c r="G216" s="5"/>
      <c r="H216" s="16">
        <f t="shared" ref="H216:H238" si="27">G216*0.8598</f>
        <v>0</v>
      </c>
      <c r="I216" s="16">
        <f>(((D216*0.015)*12)/7)</f>
        <v>1.4631428571428571</v>
      </c>
      <c r="J216" s="16">
        <f>D216/($E$25-$E$27)*$J$24</f>
        <v>-0.28652150224906298</v>
      </c>
      <c r="K216" s="19">
        <f t="shared" si="22"/>
        <v>1.176621354893794</v>
      </c>
      <c r="M216" s="13" t="s">
        <v>71</v>
      </c>
    </row>
    <row r="217" spans="1:15" x14ac:dyDescent="0.25">
      <c r="A217" s="1">
        <v>174</v>
      </c>
      <c r="B217" s="47">
        <v>45671</v>
      </c>
      <c r="C217" s="66">
        <v>34242183</v>
      </c>
      <c r="D217" s="156">
        <v>85.9</v>
      </c>
      <c r="E217" s="5">
        <v>36.847000000000001</v>
      </c>
      <c r="F217" s="5">
        <v>37.158999999999999</v>
      </c>
      <c r="G217" s="5">
        <f t="shared" ref="G217:G222" si="28">F217-E217</f>
        <v>0.31199999999999761</v>
      </c>
      <c r="H217" s="16">
        <f t="shared" si="27"/>
        <v>0.26825759999999793</v>
      </c>
      <c r="I217" s="19"/>
      <c r="J217" s="16"/>
      <c r="K217" s="19">
        <f t="shared" si="22"/>
        <v>0.26825759999999793</v>
      </c>
      <c r="M217" s="13" t="s">
        <v>69</v>
      </c>
    </row>
    <row r="218" spans="1:15" x14ac:dyDescent="0.25">
      <c r="A218" s="1">
        <v>175</v>
      </c>
      <c r="B218" s="47">
        <v>45940</v>
      </c>
      <c r="C218" s="66">
        <v>34242196</v>
      </c>
      <c r="D218" s="156">
        <v>84.5</v>
      </c>
      <c r="E218" s="5">
        <v>36.627000000000002</v>
      </c>
      <c r="F218" s="5">
        <v>36.627000000000002</v>
      </c>
      <c r="G218" s="5">
        <f t="shared" si="28"/>
        <v>0</v>
      </c>
      <c r="H218" s="16">
        <f t="shared" si="27"/>
        <v>0</v>
      </c>
      <c r="I218" s="16"/>
      <c r="J218" s="16"/>
      <c r="K218" s="19">
        <f t="shared" si="22"/>
        <v>0</v>
      </c>
      <c r="M218" s="13" t="s">
        <v>69</v>
      </c>
    </row>
    <row r="219" spans="1:15" x14ac:dyDescent="0.25">
      <c r="A219" s="1">
        <v>176</v>
      </c>
      <c r="B219" s="47">
        <v>45748</v>
      </c>
      <c r="C219" s="66">
        <v>34242199</v>
      </c>
      <c r="D219" s="156">
        <v>56.5</v>
      </c>
      <c r="E219" s="5">
        <v>19.855</v>
      </c>
      <c r="F219" s="5">
        <v>19.855</v>
      </c>
      <c r="G219" s="5">
        <f t="shared" si="28"/>
        <v>0</v>
      </c>
      <c r="H219" s="16">
        <f t="shared" si="27"/>
        <v>0</v>
      </c>
      <c r="I219" s="16"/>
      <c r="J219" s="16"/>
      <c r="K219" s="19">
        <f t="shared" si="22"/>
        <v>0</v>
      </c>
      <c r="M219" s="13" t="s">
        <v>69</v>
      </c>
    </row>
    <row r="220" spans="1:15" x14ac:dyDescent="0.25">
      <c r="A220" s="1">
        <v>177</v>
      </c>
      <c r="B220" s="47">
        <v>45803</v>
      </c>
      <c r="C220" s="66">
        <v>34242192</v>
      </c>
      <c r="D220" s="156">
        <v>57</v>
      </c>
      <c r="E220" s="5">
        <v>17.718</v>
      </c>
      <c r="F220" s="5">
        <v>17.718</v>
      </c>
      <c r="G220" s="5">
        <f t="shared" si="28"/>
        <v>0</v>
      </c>
      <c r="H220" s="16">
        <f t="shared" si="27"/>
        <v>0</v>
      </c>
      <c r="I220" s="16"/>
      <c r="J220" s="16"/>
      <c r="K220" s="19">
        <f t="shared" si="22"/>
        <v>0</v>
      </c>
      <c r="M220" s="13" t="s">
        <v>69</v>
      </c>
    </row>
    <row r="221" spans="1:15" x14ac:dyDescent="0.25">
      <c r="A221" s="1">
        <v>178</v>
      </c>
      <c r="B221" s="47">
        <v>46272</v>
      </c>
      <c r="C221" s="66">
        <v>34242198</v>
      </c>
      <c r="D221" s="156">
        <v>85.8</v>
      </c>
      <c r="E221" s="5">
        <v>37.371000000000002</v>
      </c>
      <c r="F221" s="5">
        <v>37.371000000000002</v>
      </c>
      <c r="G221" s="5">
        <f t="shared" si="28"/>
        <v>0</v>
      </c>
      <c r="H221" s="16">
        <f t="shared" si="27"/>
        <v>0</v>
      </c>
      <c r="I221" s="16"/>
      <c r="J221" s="16"/>
      <c r="K221" s="19">
        <f t="shared" si="22"/>
        <v>0</v>
      </c>
      <c r="M221" s="13" t="s">
        <v>69</v>
      </c>
    </row>
    <row r="222" spans="1:15" x14ac:dyDescent="0.25">
      <c r="A222" s="1">
        <v>179</v>
      </c>
      <c r="B222" s="47">
        <v>45802</v>
      </c>
      <c r="C222" s="66">
        <v>34242200</v>
      </c>
      <c r="D222" s="156">
        <v>84.7</v>
      </c>
      <c r="E222" s="5">
        <v>67.864999999999995</v>
      </c>
      <c r="F222" s="5">
        <v>67.864999999999995</v>
      </c>
      <c r="G222" s="5">
        <f t="shared" si="28"/>
        <v>0</v>
      </c>
      <c r="H222" s="16">
        <f t="shared" si="27"/>
        <v>0</v>
      </c>
      <c r="I222" s="19"/>
      <c r="J222" s="16"/>
      <c r="K222" s="19">
        <f t="shared" si="22"/>
        <v>0</v>
      </c>
      <c r="M222" s="13" t="s">
        <v>69</v>
      </c>
    </row>
    <row r="223" spans="1:15" x14ac:dyDescent="0.25">
      <c r="A223" s="1">
        <v>180</v>
      </c>
      <c r="B223" s="33"/>
      <c r="C223" s="66">
        <v>34242197</v>
      </c>
      <c r="D223" s="156">
        <v>55.8</v>
      </c>
      <c r="E223" s="5">
        <v>29.472000000000001</v>
      </c>
      <c r="F223" s="5">
        <v>29.646000000000001</v>
      </c>
      <c r="G223" s="5"/>
      <c r="H223" s="16">
        <f t="shared" si="27"/>
        <v>0</v>
      </c>
      <c r="I223" s="16">
        <f t="shared" ref="I223:I224" si="29">(((D223*0.015)*12)/7)</f>
        <v>1.4348571428571428</v>
      </c>
      <c r="J223" s="16">
        <f>D223/($E$25-$E$27)*$J$24</f>
        <v>-0.28098242224073305</v>
      </c>
      <c r="K223" s="19">
        <f t="shared" si="22"/>
        <v>1.1538747206164097</v>
      </c>
      <c r="M223" s="13" t="s">
        <v>71</v>
      </c>
      <c r="O223" s="12"/>
    </row>
    <row r="224" spans="1:15" x14ac:dyDescent="0.25">
      <c r="A224" s="1">
        <v>181</v>
      </c>
      <c r="B224" s="33"/>
      <c r="C224" s="66">
        <v>34242193</v>
      </c>
      <c r="D224" s="156">
        <v>57</v>
      </c>
      <c r="E224" s="5">
        <v>15.304</v>
      </c>
      <c r="F224" s="5">
        <v>15.454000000000001</v>
      </c>
      <c r="G224" s="5"/>
      <c r="H224" s="16">
        <f t="shared" si="27"/>
        <v>0</v>
      </c>
      <c r="I224" s="16">
        <f t="shared" si="29"/>
        <v>1.4657142857142857</v>
      </c>
      <c r="J224" s="16">
        <f>D224/($E$25-$E$27)*$J$24</f>
        <v>-0.28702505497709291</v>
      </c>
      <c r="K224" s="19">
        <f t="shared" si="22"/>
        <v>1.1786892307371928</v>
      </c>
      <c r="M224" s="13" t="s">
        <v>71</v>
      </c>
      <c r="O224" s="12"/>
    </row>
    <row r="225" spans="1:15" ht="15.75" thickBot="1" x14ac:dyDescent="0.3">
      <c r="A225" s="15">
        <v>182</v>
      </c>
      <c r="B225" s="35" t="s">
        <v>59</v>
      </c>
      <c r="C225" s="68">
        <v>34242194</v>
      </c>
      <c r="D225" s="90">
        <v>85.8</v>
      </c>
      <c r="E225" s="8">
        <v>47.764000000000003</v>
      </c>
      <c r="F225" s="8">
        <v>48.497999999999998</v>
      </c>
      <c r="G225" s="28">
        <f>F225-E225</f>
        <v>0.73399999999999466</v>
      </c>
      <c r="H225" s="91">
        <f>G225*0.8598</f>
        <v>0.63109319999999536</v>
      </c>
      <c r="I225" s="16"/>
      <c r="J225" s="16"/>
      <c r="K225" s="19">
        <f t="shared" si="22"/>
        <v>0.63109319999999536</v>
      </c>
      <c r="M225" s="13" t="s">
        <v>69</v>
      </c>
      <c r="O225" s="12"/>
    </row>
    <row r="226" spans="1:15" ht="15.75" thickBot="1" x14ac:dyDescent="0.3">
      <c r="A226" s="219" t="s">
        <v>78</v>
      </c>
      <c r="B226" s="220"/>
      <c r="C226" s="220"/>
      <c r="D226" s="92">
        <f>SUM(D174:D225)</f>
        <v>3672.6000000000013</v>
      </c>
      <c r="E226" s="221" t="s">
        <v>79</v>
      </c>
      <c r="F226" s="221"/>
      <c r="G226" s="221"/>
      <c r="H226" s="64">
        <f>SUM(H174:H225)</f>
        <v>8.1540602000000071</v>
      </c>
      <c r="I226" s="64">
        <f>SUM(I174:I225)</f>
        <v>12.347999999999999</v>
      </c>
      <c r="J226" s="64">
        <f>SUM(J174:J225)</f>
        <v>-2.4180602000000007</v>
      </c>
      <c r="K226" s="93">
        <f>SUM(K174:K225)</f>
        <v>18.084000000000003</v>
      </c>
      <c r="M226" s="13"/>
    </row>
    <row r="227" spans="1:15" x14ac:dyDescent="0.25">
      <c r="A227" s="9">
        <v>183</v>
      </c>
      <c r="B227" s="190">
        <v>46272</v>
      </c>
      <c r="C227" s="69">
        <v>34242339</v>
      </c>
      <c r="D227" s="155">
        <v>117.2</v>
      </c>
      <c r="E227" s="6">
        <v>64.091999999999999</v>
      </c>
      <c r="F227" s="6">
        <v>64.091999999999999</v>
      </c>
      <c r="G227" s="5">
        <f>F227-E227</f>
        <v>0</v>
      </c>
      <c r="H227" s="19">
        <f t="shared" si="27"/>
        <v>0</v>
      </c>
      <c r="I227" s="16"/>
      <c r="J227" s="16"/>
      <c r="K227" s="19">
        <f>H227+I227+J227</f>
        <v>0</v>
      </c>
      <c r="M227" s="13" t="s">
        <v>69</v>
      </c>
    </row>
    <row r="228" spans="1:15" x14ac:dyDescent="0.25">
      <c r="A228" s="1">
        <v>184</v>
      </c>
      <c r="B228" s="37" t="s">
        <v>150</v>
      </c>
      <c r="C228" s="66">
        <v>34242341</v>
      </c>
      <c r="D228" s="156">
        <v>58.1</v>
      </c>
      <c r="E228" s="5">
        <v>37.777999999999999</v>
      </c>
      <c r="F228" s="5">
        <v>37.777999999999999</v>
      </c>
      <c r="G228" s="5"/>
      <c r="H228" s="16">
        <f t="shared" si="27"/>
        <v>0</v>
      </c>
      <c r="I228" s="16">
        <f>(((D228*0.015)*12)/7)</f>
        <v>1.4939999999999998</v>
      </c>
      <c r="J228" s="16">
        <f>D228/($E$32-$E$34)*$J$31</f>
        <v>-0.68164691530175203</v>
      </c>
      <c r="K228" s="19">
        <f t="shared" ref="K228:K291" si="30">H228+I228+J228</f>
        <v>0.81235308469824774</v>
      </c>
      <c r="M228" s="13" t="s">
        <v>71</v>
      </c>
    </row>
    <row r="229" spans="1:15" x14ac:dyDescent="0.25">
      <c r="A229" s="1">
        <v>185</v>
      </c>
      <c r="B229" s="33"/>
      <c r="C229" s="66">
        <v>34242160</v>
      </c>
      <c r="D229" s="156">
        <v>58.4</v>
      </c>
      <c r="E229" s="5">
        <v>14.632</v>
      </c>
      <c r="F229" s="5">
        <v>14.632</v>
      </c>
      <c r="G229" s="5"/>
      <c r="H229" s="16">
        <f t="shared" si="27"/>
        <v>0</v>
      </c>
      <c r="I229" s="16">
        <f>(((D229*0.015)*12)/7)</f>
        <v>1.5017142857142858</v>
      </c>
      <c r="J229" s="16">
        <f t="shared" ref="J229" si="31">D229/($E$32-$E$34)*$J$31</f>
        <v>-0.68516660677491092</v>
      </c>
      <c r="K229" s="19">
        <f t="shared" si="30"/>
        <v>0.81654767893937485</v>
      </c>
      <c r="M229" s="13" t="s">
        <v>71</v>
      </c>
    </row>
    <row r="230" spans="1:15" x14ac:dyDescent="0.25">
      <c r="A230" s="1">
        <v>186</v>
      </c>
      <c r="B230" s="47">
        <v>46283</v>
      </c>
      <c r="C230" s="66">
        <v>43441091</v>
      </c>
      <c r="D230" s="156">
        <v>46.7</v>
      </c>
      <c r="E230" s="5">
        <v>37.801000000000002</v>
      </c>
      <c r="F230" s="5">
        <v>38.429000000000002</v>
      </c>
      <c r="G230" s="5">
        <f>F230-E230</f>
        <v>0.62800000000000011</v>
      </c>
      <c r="H230" s="16">
        <f>G230*0.8598</f>
        <v>0.53995440000000006</v>
      </c>
      <c r="I230" s="16"/>
      <c r="J230" s="16"/>
      <c r="K230" s="19">
        <f t="shared" si="30"/>
        <v>0.53995440000000006</v>
      </c>
      <c r="M230" s="13" t="s">
        <v>69</v>
      </c>
    </row>
    <row r="231" spans="1:15" x14ac:dyDescent="0.25">
      <c r="A231" s="1">
        <v>187</v>
      </c>
      <c r="B231" s="47">
        <v>45654</v>
      </c>
      <c r="C231" s="66">
        <v>34242342</v>
      </c>
      <c r="D231" s="156">
        <v>77.400000000000006</v>
      </c>
      <c r="E231" s="5">
        <v>51.593000000000004</v>
      </c>
      <c r="F231" s="5">
        <v>51.656999999999996</v>
      </c>
      <c r="G231" s="5">
        <f>F231-E231</f>
        <v>6.3999999999992951E-2</v>
      </c>
      <c r="H231" s="16">
        <f>G231*0.8598</f>
        <v>5.5027199999993941E-2</v>
      </c>
      <c r="I231" s="16"/>
      <c r="J231" s="16"/>
      <c r="K231" s="19">
        <f t="shared" si="30"/>
        <v>5.5027199999993941E-2</v>
      </c>
      <c r="M231" s="13" t="s">
        <v>69</v>
      </c>
    </row>
    <row r="232" spans="1:15" x14ac:dyDescent="0.25">
      <c r="A232" s="1">
        <v>188</v>
      </c>
      <c r="B232" s="34"/>
      <c r="C232" s="66">
        <v>34242334</v>
      </c>
      <c r="D232" s="156">
        <v>117.2</v>
      </c>
      <c r="E232" s="5">
        <v>47.326999999999998</v>
      </c>
      <c r="F232" s="5">
        <v>48.329000000000001</v>
      </c>
      <c r="G232" s="5"/>
      <c r="H232" s="16">
        <f t="shared" si="27"/>
        <v>0</v>
      </c>
      <c r="I232" s="16">
        <f>(((D232*0.015)*12)/7)</f>
        <v>3.0137142857142858</v>
      </c>
      <c r="J232" s="16">
        <f>D232/($E$32-$E$34)*$J$31</f>
        <v>-1.3750261355140334</v>
      </c>
      <c r="K232" s="19">
        <f t="shared" si="30"/>
        <v>1.6386881502002524</v>
      </c>
      <c r="M232" s="13" t="s">
        <v>71</v>
      </c>
    </row>
    <row r="233" spans="1:15" x14ac:dyDescent="0.25">
      <c r="A233" s="1">
        <v>189</v>
      </c>
      <c r="B233" s="47">
        <v>45566</v>
      </c>
      <c r="C233" s="49" t="s">
        <v>89</v>
      </c>
      <c r="D233" s="156">
        <v>58.7</v>
      </c>
      <c r="E233" s="39">
        <v>7.4169999999999998</v>
      </c>
      <c r="F233" s="39">
        <v>7.7469999999999999</v>
      </c>
      <c r="G233" s="5"/>
      <c r="H233" s="16">
        <f>F233-E233</f>
        <v>0.33000000000000007</v>
      </c>
      <c r="I233" s="16"/>
      <c r="J233" s="16"/>
      <c r="K233" s="19">
        <f t="shared" si="30"/>
        <v>0.33000000000000007</v>
      </c>
      <c r="M233" s="13" t="s">
        <v>69</v>
      </c>
    </row>
    <row r="234" spans="1:15" x14ac:dyDescent="0.25">
      <c r="A234" s="1">
        <v>190</v>
      </c>
      <c r="B234" s="48">
        <v>45704</v>
      </c>
      <c r="C234" s="66">
        <v>34242340</v>
      </c>
      <c r="D234" s="156">
        <v>58.2</v>
      </c>
      <c r="E234" s="5">
        <v>39.511000000000003</v>
      </c>
      <c r="F234" s="5">
        <v>40.290999999999997</v>
      </c>
      <c r="G234" s="5">
        <f>F234-E234</f>
        <v>0.77999999999999403</v>
      </c>
      <c r="H234" s="16">
        <f t="shared" si="27"/>
        <v>0.67064399999999491</v>
      </c>
      <c r="I234" s="16"/>
      <c r="J234" s="16"/>
      <c r="K234" s="19">
        <f t="shared" si="30"/>
        <v>0.67064399999999491</v>
      </c>
      <c r="M234" s="13" t="s">
        <v>69</v>
      </c>
    </row>
    <row r="235" spans="1:15" x14ac:dyDescent="0.25">
      <c r="A235" s="1">
        <v>191</v>
      </c>
      <c r="B235" s="47">
        <v>45668</v>
      </c>
      <c r="C235" s="10" t="s">
        <v>93</v>
      </c>
      <c r="D235" s="156">
        <v>46.6</v>
      </c>
      <c r="E235" s="5">
        <v>0.24199999999999999</v>
      </c>
      <c r="F235" s="5">
        <v>0.24199999999999999</v>
      </c>
      <c r="G235" s="39"/>
      <c r="H235" s="16">
        <f>F235-E235</f>
        <v>0</v>
      </c>
      <c r="I235" s="16"/>
      <c r="J235" s="16"/>
      <c r="K235" s="19">
        <f>H235+I235+J235</f>
        <v>0</v>
      </c>
      <c r="M235" s="13" t="s">
        <v>69</v>
      </c>
    </row>
    <row r="236" spans="1:15" x14ac:dyDescent="0.25">
      <c r="A236" s="1">
        <v>192</v>
      </c>
      <c r="B236" s="33" t="s">
        <v>59</v>
      </c>
      <c r="C236" s="10" t="s">
        <v>80</v>
      </c>
      <c r="D236" s="156">
        <v>77.3</v>
      </c>
      <c r="E236" s="39">
        <v>3.097</v>
      </c>
      <c r="F236" s="39">
        <v>3.097</v>
      </c>
      <c r="G236" s="5"/>
      <c r="H236" s="16">
        <f>F236-E236</f>
        <v>0</v>
      </c>
      <c r="I236" s="16"/>
      <c r="J236" s="16"/>
      <c r="K236" s="19">
        <f>H236+I236+J236</f>
        <v>0</v>
      </c>
      <c r="M236" s="13" t="s">
        <v>69</v>
      </c>
    </row>
    <row r="237" spans="1:15" x14ac:dyDescent="0.25">
      <c r="A237" s="1">
        <v>193</v>
      </c>
      <c r="B237" s="47">
        <v>45741</v>
      </c>
      <c r="C237" s="66">
        <v>34242324</v>
      </c>
      <c r="D237" s="156">
        <v>116.7</v>
      </c>
      <c r="E237" s="5">
        <v>11.222</v>
      </c>
      <c r="F237" s="5">
        <v>11.222</v>
      </c>
      <c r="G237" s="5">
        <f>F237-E237</f>
        <v>0</v>
      </c>
      <c r="H237" s="16">
        <f t="shared" si="27"/>
        <v>0</v>
      </c>
      <c r="I237" s="16"/>
      <c r="J237" s="16"/>
      <c r="K237" s="19">
        <f t="shared" si="30"/>
        <v>0</v>
      </c>
      <c r="M237" s="13" t="s">
        <v>69</v>
      </c>
    </row>
    <row r="238" spans="1:15" x14ac:dyDescent="0.25">
      <c r="A238" s="42">
        <v>194</v>
      </c>
      <c r="B238" s="34"/>
      <c r="C238" s="66">
        <v>34242331</v>
      </c>
      <c r="D238" s="156">
        <v>58</v>
      </c>
      <c r="E238" s="5">
        <v>4.4710000000000001</v>
      </c>
      <c r="F238" s="5">
        <v>4.4710000000000001</v>
      </c>
      <c r="G238" s="5"/>
      <c r="H238" s="16">
        <f t="shared" si="27"/>
        <v>0</v>
      </c>
      <c r="I238" s="16">
        <f>(((D238*0.015)*12)/7)</f>
        <v>1.4914285714285713</v>
      </c>
      <c r="J238" s="16">
        <f>D238/($E$32-$E$34)*$J$31</f>
        <v>-0.68047368481069914</v>
      </c>
      <c r="K238" s="19">
        <f t="shared" si="30"/>
        <v>0.81095488661787218</v>
      </c>
      <c r="M238" s="13" t="s">
        <v>71</v>
      </c>
    </row>
    <row r="239" spans="1:15" x14ac:dyDescent="0.25">
      <c r="A239" s="1">
        <v>195</v>
      </c>
      <c r="B239" s="47">
        <v>45553</v>
      </c>
      <c r="C239" s="10" t="s">
        <v>98</v>
      </c>
      <c r="D239" s="156">
        <v>58.1</v>
      </c>
      <c r="E239" s="39">
        <v>2.9790000000000001</v>
      </c>
      <c r="F239" s="39">
        <v>2.99</v>
      </c>
      <c r="G239" s="5"/>
      <c r="H239" s="16">
        <f>F239-E239</f>
        <v>1.1000000000000121E-2</v>
      </c>
      <c r="I239" s="16"/>
      <c r="J239" s="16"/>
      <c r="K239" s="19">
        <f>H239+I239+J239</f>
        <v>1.1000000000000121E-2</v>
      </c>
      <c r="M239" s="13" t="s">
        <v>69</v>
      </c>
    </row>
    <row r="240" spans="1:15" x14ac:dyDescent="0.25">
      <c r="A240" s="1">
        <v>196</v>
      </c>
      <c r="B240" s="47">
        <v>45553</v>
      </c>
      <c r="C240" s="10" t="s">
        <v>99</v>
      </c>
      <c r="D240" s="156">
        <v>46.7</v>
      </c>
      <c r="E240" s="39">
        <v>1.776</v>
      </c>
      <c r="F240" s="39">
        <v>1.778</v>
      </c>
      <c r="G240" s="5"/>
      <c r="H240" s="16">
        <f>F240-E240</f>
        <v>2.0000000000000018E-3</v>
      </c>
      <c r="I240" s="16"/>
      <c r="J240" s="16"/>
      <c r="K240" s="19">
        <f t="shared" si="30"/>
        <v>2.0000000000000018E-3</v>
      </c>
      <c r="L240" s="24"/>
      <c r="M240" s="13" t="s">
        <v>69</v>
      </c>
    </row>
    <row r="241" spans="1:13" x14ac:dyDescent="0.25">
      <c r="A241" s="9">
        <v>197</v>
      </c>
      <c r="B241" s="105">
        <v>45955</v>
      </c>
      <c r="C241" s="66" t="s">
        <v>114</v>
      </c>
      <c r="D241" s="156">
        <v>77.5</v>
      </c>
      <c r="E241" s="39">
        <v>6.6780999999999997</v>
      </c>
      <c r="F241" s="39">
        <v>7.4930000000000003</v>
      </c>
      <c r="G241" s="5"/>
      <c r="H241" s="16">
        <f>F241-E241</f>
        <v>0.81490000000000062</v>
      </c>
      <c r="I241" s="16"/>
      <c r="J241" s="16"/>
      <c r="K241" s="19">
        <f t="shared" si="30"/>
        <v>0.81490000000000062</v>
      </c>
      <c r="L241" s="24"/>
      <c r="M241" s="13" t="s">
        <v>69</v>
      </c>
    </row>
    <row r="242" spans="1:13" x14ac:dyDescent="0.25">
      <c r="A242" s="1">
        <v>198</v>
      </c>
      <c r="B242" s="47">
        <v>45900</v>
      </c>
      <c r="C242" s="66">
        <v>34242333</v>
      </c>
      <c r="D242" s="156">
        <v>116.5</v>
      </c>
      <c r="E242" s="5">
        <v>39.390999999999998</v>
      </c>
      <c r="F242" s="5">
        <v>39.832999999999998</v>
      </c>
      <c r="G242" s="5">
        <f>F242-E242</f>
        <v>0.44200000000000017</v>
      </c>
      <c r="H242" s="16">
        <f t="shared" ref="H242:H263" si="32">G242*0.8598</f>
        <v>0.38003160000000014</v>
      </c>
      <c r="I242" s="16"/>
      <c r="J242" s="16"/>
      <c r="K242" s="19">
        <f t="shared" si="30"/>
        <v>0.38003160000000014</v>
      </c>
      <c r="L242" s="24"/>
      <c r="M242" s="13" t="s">
        <v>69</v>
      </c>
    </row>
    <row r="243" spans="1:13" x14ac:dyDescent="0.25">
      <c r="A243" s="1">
        <v>199</v>
      </c>
      <c r="B243" s="47">
        <v>46276</v>
      </c>
      <c r="C243" s="66">
        <v>34242330</v>
      </c>
      <c r="D243" s="156">
        <v>58.8</v>
      </c>
      <c r="E243" s="5">
        <v>46.15</v>
      </c>
      <c r="F243" s="5">
        <v>46.789000000000001</v>
      </c>
      <c r="G243" s="5">
        <f>F243-E243</f>
        <v>0.6390000000000029</v>
      </c>
      <c r="H243" s="16">
        <f t="shared" si="32"/>
        <v>0.54941220000000246</v>
      </c>
      <c r="I243" s="16"/>
      <c r="J243" s="16"/>
      <c r="K243" s="19">
        <f t="shared" si="30"/>
        <v>0.54941220000000246</v>
      </c>
      <c r="M243" s="13" t="s">
        <v>69</v>
      </c>
    </row>
    <row r="244" spans="1:13" x14ac:dyDescent="0.25">
      <c r="A244" s="1">
        <v>200</v>
      </c>
      <c r="B244" s="47">
        <v>45873</v>
      </c>
      <c r="C244" s="66">
        <v>34242329</v>
      </c>
      <c r="D244" s="156">
        <v>58.6</v>
      </c>
      <c r="E244" s="5">
        <v>7.6820000000000004</v>
      </c>
      <c r="F244" s="5">
        <v>7.976</v>
      </c>
      <c r="G244" s="5">
        <f>F244-E244</f>
        <v>0.29399999999999959</v>
      </c>
      <c r="H244" s="16">
        <f t="shared" si="32"/>
        <v>0.25278119999999965</v>
      </c>
      <c r="I244" s="16"/>
      <c r="J244" s="16"/>
      <c r="K244" s="19">
        <f t="shared" si="30"/>
        <v>0.25278119999999965</v>
      </c>
      <c r="M244" s="13" t="s">
        <v>69</v>
      </c>
    </row>
    <row r="245" spans="1:13" x14ac:dyDescent="0.25">
      <c r="A245" s="1">
        <v>201</v>
      </c>
      <c r="B245" s="47">
        <v>45650</v>
      </c>
      <c r="C245" s="66">
        <v>34242326</v>
      </c>
      <c r="D245" s="156">
        <v>46.4</v>
      </c>
      <c r="E245" s="5">
        <v>35.793999999999997</v>
      </c>
      <c r="F245" s="5">
        <v>36.167999999999999</v>
      </c>
      <c r="G245" s="5">
        <f>F245-E245</f>
        <v>0.37400000000000233</v>
      </c>
      <c r="H245" s="16">
        <f>G245*0.8598</f>
        <v>0.32156520000000199</v>
      </c>
      <c r="I245" s="16"/>
      <c r="J245" s="16"/>
      <c r="K245" s="19">
        <f t="shared" si="30"/>
        <v>0.32156520000000199</v>
      </c>
      <c r="M245" s="13" t="s">
        <v>69</v>
      </c>
    </row>
    <row r="246" spans="1:13" x14ac:dyDescent="0.25">
      <c r="A246" s="1">
        <v>202</v>
      </c>
      <c r="B246" s="33" t="s">
        <v>59</v>
      </c>
      <c r="C246" s="191" t="s">
        <v>60</v>
      </c>
      <c r="D246" s="156">
        <v>77.5</v>
      </c>
      <c r="E246" s="39">
        <v>16.131</v>
      </c>
      <c r="F246" s="39">
        <v>16.765999999999998</v>
      </c>
      <c r="G246" s="39"/>
      <c r="H246" s="16">
        <f>F246-E246</f>
        <v>0.63499999999999801</v>
      </c>
      <c r="I246" s="16"/>
      <c r="J246" s="16"/>
      <c r="K246" s="19">
        <f>H246+I246+J246</f>
        <v>0.63499999999999801</v>
      </c>
      <c r="M246" s="13" t="s">
        <v>69</v>
      </c>
    </row>
    <row r="247" spans="1:13" x14ac:dyDescent="0.25">
      <c r="A247" s="1">
        <v>203</v>
      </c>
      <c r="B247" s="33"/>
      <c r="C247" s="66">
        <v>43441405</v>
      </c>
      <c r="D247" s="156">
        <v>117.4</v>
      </c>
      <c r="E247" s="5">
        <v>62.051000000000002</v>
      </c>
      <c r="F247" s="5">
        <v>63.005000000000003</v>
      </c>
      <c r="G247" s="5"/>
      <c r="H247" s="16">
        <f t="shared" si="32"/>
        <v>0</v>
      </c>
      <c r="I247" s="16">
        <f t="shared" ref="I247:I251" si="33">(((D247*0.015)*12)/7)</f>
        <v>3.0188571428571431</v>
      </c>
      <c r="J247" s="16">
        <f t="shared" ref="J247:J251" si="34">D247/($E$32-$E$34)*$J$31</f>
        <v>-1.3773725964961394</v>
      </c>
      <c r="K247" s="19">
        <f t="shared" si="30"/>
        <v>1.6414845463610037</v>
      </c>
      <c r="M247" s="13" t="s">
        <v>71</v>
      </c>
    </row>
    <row r="248" spans="1:13" x14ac:dyDescent="0.25">
      <c r="A248" s="1">
        <v>204</v>
      </c>
      <c r="B248" s="33"/>
      <c r="C248" s="66">
        <v>43441406</v>
      </c>
      <c r="D248" s="156">
        <v>57.9</v>
      </c>
      <c r="E248" s="5">
        <v>7.3760000000000003</v>
      </c>
      <c r="F248" s="5">
        <v>7.3760000000000003</v>
      </c>
      <c r="G248" s="5"/>
      <c r="H248" s="16">
        <f t="shared" si="32"/>
        <v>0</v>
      </c>
      <c r="I248" s="16">
        <f t="shared" si="33"/>
        <v>1.4888571428571427</v>
      </c>
      <c r="J248" s="16">
        <f t="shared" si="34"/>
        <v>-0.67930045431964625</v>
      </c>
      <c r="K248" s="19">
        <f t="shared" si="30"/>
        <v>0.80955668853749641</v>
      </c>
      <c r="M248" s="13" t="s">
        <v>71</v>
      </c>
    </row>
    <row r="249" spans="1:13" x14ac:dyDescent="0.25">
      <c r="A249" s="1">
        <v>205</v>
      </c>
      <c r="B249" s="47">
        <v>46287</v>
      </c>
      <c r="C249" s="66">
        <v>43441089</v>
      </c>
      <c r="D249" s="156">
        <v>58.3</v>
      </c>
      <c r="E249" s="5">
        <v>35.311999999999998</v>
      </c>
      <c r="F249" s="5">
        <v>35.311999999999998</v>
      </c>
      <c r="G249" s="5">
        <f>F249-E249</f>
        <v>0</v>
      </c>
      <c r="H249" s="16">
        <f t="shared" si="32"/>
        <v>0</v>
      </c>
      <c r="I249" s="16"/>
      <c r="J249" s="16"/>
      <c r="K249" s="19">
        <f t="shared" si="30"/>
        <v>0</v>
      </c>
      <c r="M249" s="13" t="s">
        <v>69</v>
      </c>
    </row>
    <row r="250" spans="1:13" x14ac:dyDescent="0.25">
      <c r="A250" s="1">
        <v>206</v>
      </c>
      <c r="B250" s="34"/>
      <c r="C250" s="66">
        <v>20242434</v>
      </c>
      <c r="D250" s="156">
        <v>46.3</v>
      </c>
      <c r="E250" s="5">
        <v>18.138999999999999</v>
      </c>
      <c r="F250" s="5">
        <v>18.876999999999999</v>
      </c>
      <c r="G250" s="5"/>
      <c r="H250" s="16">
        <f t="shared" si="32"/>
        <v>0</v>
      </c>
      <c r="I250" s="16">
        <f t="shared" si="33"/>
        <v>1.1905714285714286</v>
      </c>
      <c r="J250" s="16">
        <f t="shared" si="34"/>
        <v>-0.54320571735750633</v>
      </c>
      <c r="K250" s="19">
        <f t="shared" si="30"/>
        <v>0.64736571121392228</v>
      </c>
      <c r="M250" s="13" t="s">
        <v>71</v>
      </c>
    </row>
    <row r="251" spans="1:13" x14ac:dyDescent="0.25">
      <c r="A251" s="1">
        <v>207</v>
      </c>
      <c r="B251" s="33"/>
      <c r="C251" s="66">
        <v>43441407</v>
      </c>
      <c r="D251" s="156">
        <v>77.900000000000006</v>
      </c>
      <c r="E251" s="5">
        <v>28.757000000000001</v>
      </c>
      <c r="F251" s="5">
        <v>29.654</v>
      </c>
      <c r="G251" s="5"/>
      <c r="H251" s="16">
        <f t="shared" si="32"/>
        <v>0</v>
      </c>
      <c r="I251" s="16">
        <f t="shared" si="33"/>
        <v>2.0031428571428576</v>
      </c>
      <c r="J251" s="16">
        <f t="shared" si="34"/>
        <v>-0.91394655253023216</v>
      </c>
      <c r="K251" s="19">
        <f t="shared" si="30"/>
        <v>1.0891963046126254</v>
      </c>
      <c r="M251" s="13" t="s">
        <v>71</v>
      </c>
    </row>
    <row r="252" spans="1:13" x14ac:dyDescent="0.25">
      <c r="A252" s="1">
        <v>208</v>
      </c>
      <c r="B252" s="47">
        <v>45915</v>
      </c>
      <c r="C252" s="66">
        <v>43441412</v>
      </c>
      <c r="D252" s="156">
        <v>117.9</v>
      </c>
      <c r="E252" s="5">
        <v>50.174999999999997</v>
      </c>
      <c r="F252" s="5">
        <v>50.902999999999999</v>
      </c>
      <c r="G252" s="5">
        <f>F252-E252</f>
        <v>0.72800000000000153</v>
      </c>
      <c r="H252" s="16">
        <f>G252*0.8598</f>
        <v>0.62593440000000133</v>
      </c>
      <c r="I252" s="16"/>
      <c r="J252" s="16"/>
      <c r="K252" s="19">
        <f>H252+I252+J252</f>
        <v>0.62593440000000133</v>
      </c>
      <c r="M252" s="13" t="s">
        <v>69</v>
      </c>
    </row>
    <row r="253" spans="1:13" x14ac:dyDescent="0.25">
      <c r="A253" s="1">
        <v>209</v>
      </c>
      <c r="B253" s="53"/>
      <c r="C253" s="66">
        <v>43441411</v>
      </c>
      <c r="D253" s="156">
        <v>58.2</v>
      </c>
      <c r="E253" s="5">
        <v>27.948</v>
      </c>
      <c r="F253" s="5">
        <v>28.274999999999999</v>
      </c>
      <c r="G253" s="5"/>
      <c r="H253" s="16">
        <f t="shared" si="32"/>
        <v>0</v>
      </c>
      <c r="I253" s="16">
        <f>(((D253*0.015)*12)/7)</f>
        <v>1.4965714285714284</v>
      </c>
      <c r="J253" s="16">
        <f t="shared" ref="J253" si="35">D253/($E$32-$E$34)*$J$31</f>
        <v>-0.68282014579280514</v>
      </c>
      <c r="K253" s="19">
        <f t="shared" si="30"/>
        <v>0.8137512827786233</v>
      </c>
      <c r="M253" s="13" t="s">
        <v>71</v>
      </c>
    </row>
    <row r="254" spans="1:13" x14ac:dyDescent="0.25">
      <c r="A254" s="1">
        <v>210</v>
      </c>
      <c r="B254" s="47">
        <v>46230</v>
      </c>
      <c r="C254" s="66" t="s">
        <v>151</v>
      </c>
      <c r="D254" s="156">
        <v>58.6</v>
      </c>
      <c r="E254" s="5">
        <v>2E-3</v>
      </c>
      <c r="F254" s="5">
        <v>2E-3</v>
      </c>
      <c r="G254" s="5"/>
      <c r="H254" s="16">
        <f>F254-E254</f>
        <v>0</v>
      </c>
      <c r="I254" s="16"/>
      <c r="J254" s="16"/>
      <c r="K254" s="19">
        <f t="shared" si="30"/>
        <v>0</v>
      </c>
      <c r="M254" s="13" t="s">
        <v>69</v>
      </c>
    </row>
    <row r="255" spans="1:13" x14ac:dyDescent="0.25">
      <c r="A255" s="1">
        <v>211</v>
      </c>
      <c r="B255" s="47">
        <v>46287</v>
      </c>
      <c r="C255" s="66">
        <v>43441409</v>
      </c>
      <c r="D255" s="156">
        <v>46.7</v>
      </c>
      <c r="E255" s="5">
        <v>31.613</v>
      </c>
      <c r="F255" s="5">
        <v>31.658999999999999</v>
      </c>
      <c r="G255" s="5">
        <f>F255-E255</f>
        <v>4.5999999999999375E-2</v>
      </c>
      <c r="H255" s="16">
        <f t="shared" si="32"/>
        <v>3.9550799999999463E-2</v>
      </c>
      <c r="I255" s="16"/>
      <c r="J255" s="16"/>
      <c r="K255" s="19">
        <f t="shared" si="30"/>
        <v>3.9550799999999463E-2</v>
      </c>
      <c r="M255" s="13" t="s">
        <v>69</v>
      </c>
    </row>
    <row r="256" spans="1:13" x14ac:dyDescent="0.25">
      <c r="A256" s="1">
        <v>212</v>
      </c>
      <c r="B256" s="47">
        <v>46306</v>
      </c>
      <c r="C256" s="66">
        <v>43441410</v>
      </c>
      <c r="D256" s="156">
        <v>78.599999999999994</v>
      </c>
      <c r="E256" s="5">
        <v>43.343000000000004</v>
      </c>
      <c r="F256" s="5">
        <v>43.356000000000002</v>
      </c>
      <c r="G256" s="5">
        <f>F256-E256</f>
        <v>1.2999999999998124E-2</v>
      </c>
      <c r="H256" s="16">
        <f t="shared" si="32"/>
        <v>1.1177399999998387E-2</v>
      </c>
      <c r="I256" s="16"/>
      <c r="J256" s="16"/>
      <c r="K256" s="19">
        <f t="shared" si="30"/>
        <v>1.1177399999998387E-2</v>
      </c>
      <c r="M256" s="13" t="s">
        <v>69</v>
      </c>
    </row>
    <row r="257" spans="1:13" x14ac:dyDescent="0.25">
      <c r="A257" s="1">
        <v>213</v>
      </c>
      <c r="B257" s="47">
        <v>45803</v>
      </c>
      <c r="C257" s="66">
        <v>43441403</v>
      </c>
      <c r="D257" s="156">
        <v>117.8</v>
      </c>
      <c r="E257" s="5">
        <v>50.097999999999999</v>
      </c>
      <c r="F257" s="5">
        <v>50.582000000000001</v>
      </c>
      <c r="G257" s="5">
        <f>F257-E257</f>
        <v>0.48400000000000176</v>
      </c>
      <c r="H257" s="16">
        <f t="shared" si="32"/>
        <v>0.41614320000000155</v>
      </c>
      <c r="I257" s="16"/>
      <c r="J257" s="16"/>
      <c r="K257" s="19">
        <f t="shared" si="30"/>
        <v>0.41614320000000155</v>
      </c>
      <c r="M257" s="13" t="s">
        <v>69</v>
      </c>
    </row>
    <row r="258" spans="1:13" x14ac:dyDescent="0.25">
      <c r="A258" s="1">
        <v>214</v>
      </c>
      <c r="B258" s="33"/>
      <c r="C258" s="66">
        <v>43441398</v>
      </c>
      <c r="D258" s="156">
        <v>57.8</v>
      </c>
      <c r="E258" s="5">
        <v>16.257000000000001</v>
      </c>
      <c r="F258" s="5">
        <v>16.257000000000001</v>
      </c>
      <c r="G258" s="5"/>
      <c r="H258" s="16">
        <f t="shared" si="32"/>
        <v>0</v>
      </c>
      <c r="I258" s="16">
        <f>(((D258*0.015)*12)/7)</f>
        <v>1.486285714285714</v>
      </c>
      <c r="J258" s="16">
        <f t="shared" ref="J258" si="36">D258/($E$32-$E$34)*$J$31</f>
        <v>-0.67812722382859325</v>
      </c>
      <c r="K258" s="19">
        <f t="shared" si="30"/>
        <v>0.80815849045712074</v>
      </c>
      <c r="M258" s="13" t="s">
        <v>71</v>
      </c>
    </row>
    <row r="259" spans="1:13" x14ac:dyDescent="0.25">
      <c r="A259" s="1">
        <v>215</v>
      </c>
      <c r="B259" s="47">
        <v>46269</v>
      </c>
      <c r="C259" s="66">
        <v>43441413</v>
      </c>
      <c r="D259" s="156">
        <v>58.8</v>
      </c>
      <c r="E259" s="5">
        <v>29.439</v>
      </c>
      <c r="F259" s="5">
        <v>29.507000000000001</v>
      </c>
      <c r="G259" s="5">
        <f>F259-E259</f>
        <v>6.8000000000001393E-2</v>
      </c>
      <c r="H259" s="16">
        <f t="shared" si="32"/>
        <v>5.8466400000001195E-2</v>
      </c>
      <c r="I259" s="16"/>
      <c r="J259" s="16"/>
      <c r="K259" s="19">
        <f t="shared" si="30"/>
        <v>5.8466400000001195E-2</v>
      </c>
      <c r="M259" s="13" t="s">
        <v>69</v>
      </c>
    </row>
    <row r="260" spans="1:13" x14ac:dyDescent="0.25">
      <c r="A260" s="1">
        <v>216</v>
      </c>
      <c r="B260" s="47">
        <v>45939</v>
      </c>
      <c r="C260" s="66">
        <v>43441401</v>
      </c>
      <c r="D260" s="156">
        <v>46.6</v>
      </c>
      <c r="E260" s="5">
        <v>41.83</v>
      </c>
      <c r="F260" s="5">
        <v>42.192999999999998</v>
      </c>
      <c r="G260" s="5">
        <f>F260-E260</f>
        <v>0.36299999999999955</v>
      </c>
      <c r="H260" s="16">
        <f t="shared" si="32"/>
        <v>0.31210739999999959</v>
      </c>
      <c r="I260" s="16"/>
      <c r="J260" s="16"/>
      <c r="K260" s="19">
        <f t="shared" si="30"/>
        <v>0.31210739999999959</v>
      </c>
      <c r="M260" s="13" t="s">
        <v>69</v>
      </c>
    </row>
    <row r="261" spans="1:13" x14ac:dyDescent="0.25">
      <c r="A261" s="1">
        <v>217</v>
      </c>
      <c r="B261" s="33"/>
      <c r="C261" s="66">
        <v>43441404</v>
      </c>
      <c r="D261" s="156">
        <v>78.400000000000006</v>
      </c>
      <c r="E261" s="5">
        <v>40.237000000000002</v>
      </c>
      <c r="F261" s="5">
        <v>40.923999999999999</v>
      </c>
      <c r="G261" s="5"/>
      <c r="H261" s="16">
        <f t="shared" si="32"/>
        <v>0</v>
      </c>
      <c r="I261" s="16">
        <f>(((D261*0.015)*12)/7)</f>
        <v>2.0159999999999996</v>
      </c>
      <c r="J261" s="16">
        <f>D261/($E$32-$E$34)*$J$31</f>
        <v>-0.91981270498549683</v>
      </c>
      <c r="K261" s="19">
        <f t="shared" si="30"/>
        <v>1.0961872950145026</v>
      </c>
      <c r="M261" s="13" t="s">
        <v>71</v>
      </c>
    </row>
    <row r="262" spans="1:13" x14ac:dyDescent="0.25">
      <c r="A262" s="1">
        <v>218</v>
      </c>
      <c r="B262" s="47">
        <v>45896</v>
      </c>
      <c r="C262" s="66">
        <v>43441396</v>
      </c>
      <c r="D262" s="156">
        <v>118.2</v>
      </c>
      <c r="E262" s="5">
        <v>22.224</v>
      </c>
      <c r="F262" s="5">
        <v>22.805</v>
      </c>
      <c r="G262" s="5">
        <f>F262-E262</f>
        <v>0.58099999999999952</v>
      </c>
      <c r="H262" s="16">
        <f t="shared" si="32"/>
        <v>0.49954379999999959</v>
      </c>
      <c r="I262" s="16"/>
      <c r="J262" s="16"/>
      <c r="K262" s="19">
        <f t="shared" si="30"/>
        <v>0.49954379999999959</v>
      </c>
      <c r="M262" s="13" t="s">
        <v>69</v>
      </c>
    </row>
    <row r="263" spans="1:13" x14ac:dyDescent="0.25">
      <c r="A263" s="1">
        <v>219</v>
      </c>
      <c r="B263" s="33"/>
      <c r="C263" s="66">
        <v>43441399</v>
      </c>
      <c r="D263" s="156">
        <v>58.3</v>
      </c>
      <c r="E263" s="5">
        <v>38.323999999999998</v>
      </c>
      <c r="F263" s="5">
        <v>39.103000000000002</v>
      </c>
      <c r="G263" s="5"/>
      <c r="H263" s="16">
        <f t="shared" si="32"/>
        <v>0</v>
      </c>
      <c r="I263" s="16">
        <f>(((D263*0.015)*12)/7)</f>
        <v>1.4991428571428571</v>
      </c>
      <c r="J263" s="16">
        <f>D263/($E$32-$E$34)*$J$31</f>
        <v>-0.68399337628385792</v>
      </c>
      <c r="K263" s="19">
        <f t="shared" si="30"/>
        <v>0.81514948085899919</v>
      </c>
      <c r="M263" s="13" t="s">
        <v>71</v>
      </c>
    </row>
    <row r="264" spans="1:13" x14ac:dyDescent="0.25">
      <c r="A264" s="1">
        <v>220</v>
      </c>
      <c r="B264" s="47">
        <v>45566</v>
      </c>
      <c r="C264" s="10" t="s">
        <v>95</v>
      </c>
      <c r="D264" s="156">
        <v>59.4</v>
      </c>
      <c r="E264" s="39">
        <v>1.7279</v>
      </c>
      <c r="F264" s="39">
        <v>1.7279</v>
      </c>
      <c r="G264" s="5"/>
      <c r="H264" s="16">
        <f>F264-E264</f>
        <v>0</v>
      </c>
      <c r="I264" s="16"/>
      <c r="J264" s="16"/>
      <c r="K264" s="19">
        <f t="shared" si="30"/>
        <v>0</v>
      </c>
      <c r="M264" s="13" t="s">
        <v>69</v>
      </c>
    </row>
    <row r="265" spans="1:13" x14ac:dyDescent="0.25">
      <c r="A265" s="1">
        <v>221</v>
      </c>
      <c r="B265" s="47">
        <v>45727</v>
      </c>
      <c r="C265" s="71">
        <v>43441397</v>
      </c>
      <c r="D265" s="156">
        <v>46.9</v>
      </c>
      <c r="E265" s="5">
        <v>8.4689999999999994</v>
      </c>
      <c r="F265" s="5">
        <v>8.4689999999999994</v>
      </c>
      <c r="G265" s="5">
        <f>F265-E265</f>
        <v>0</v>
      </c>
      <c r="H265" s="16">
        <f>G265*0.8598</f>
        <v>0</v>
      </c>
      <c r="I265" s="16"/>
      <c r="J265" s="16"/>
      <c r="K265" s="19">
        <f t="shared" si="30"/>
        <v>0</v>
      </c>
      <c r="M265" s="13" t="s">
        <v>69</v>
      </c>
    </row>
    <row r="266" spans="1:13" x14ac:dyDescent="0.25">
      <c r="A266" s="1">
        <v>222</v>
      </c>
      <c r="B266" s="47">
        <v>45570</v>
      </c>
      <c r="C266" s="71">
        <v>43441402</v>
      </c>
      <c r="D266" s="156">
        <v>77.7</v>
      </c>
      <c r="E266" s="5">
        <v>65.174999999999997</v>
      </c>
      <c r="F266" s="5">
        <v>65.638999999999996</v>
      </c>
      <c r="G266" s="5">
        <f>F266-E266</f>
        <v>0.46399999999999864</v>
      </c>
      <c r="H266" s="16">
        <f t="shared" ref="H266:H288" si="37">G266*0.8598</f>
        <v>0.39894719999999884</v>
      </c>
      <c r="I266" s="16"/>
      <c r="J266" s="16"/>
      <c r="K266" s="19">
        <f t="shared" si="30"/>
        <v>0.39894719999999884</v>
      </c>
      <c r="M266" s="13" t="s">
        <v>69</v>
      </c>
    </row>
    <row r="267" spans="1:13" x14ac:dyDescent="0.25">
      <c r="A267" s="1">
        <v>223</v>
      </c>
      <c r="B267" s="47">
        <v>45790</v>
      </c>
      <c r="C267" s="71">
        <v>43441209</v>
      </c>
      <c r="D267" s="156">
        <v>118.6</v>
      </c>
      <c r="E267" s="5">
        <v>85.313000000000002</v>
      </c>
      <c r="F267" s="5">
        <v>86.23</v>
      </c>
      <c r="G267" s="5">
        <f>F267-E267</f>
        <v>0.91700000000000159</v>
      </c>
      <c r="H267" s="16">
        <f t="shared" si="37"/>
        <v>0.78843660000000138</v>
      </c>
      <c r="I267" s="16"/>
      <c r="J267" s="16"/>
      <c r="K267" s="19">
        <f t="shared" si="30"/>
        <v>0.78843660000000138</v>
      </c>
      <c r="M267" s="13" t="s">
        <v>69</v>
      </c>
    </row>
    <row r="268" spans="1:13" x14ac:dyDescent="0.25">
      <c r="A268" s="1">
        <v>224</v>
      </c>
      <c r="B268" s="47">
        <v>45940</v>
      </c>
      <c r="C268" s="71">
        <v>43441210</v>
      </c>
      <c r="D268" s="156">
        <v>56.8</v>
      </c>
      <c r="E268" s="5">
        <v>13.585000000000001</v>
      </c>
      <c r="F268" s="5">
        <v>13.916</v>
      </c>
      <c r="G268" s="5">
        <f>F268-E268</f>
        <v>0.33099999999999952</v>
      </c>
      <c r="H268" s="16">
        <f t="shared" si="37"/>
        <v>0.28459379999999956</v>
      </c>
      <c r="I268" s="16"/>
      <c r="J268" s="16"/>
      <c r="K268" s="19">
        <f t="shared" si="30"/>
        <v>0.28459379999999956</v>
      </c>
      <c r="M268" s="13" t="s">
        <v>69</v>
      </c>
    </row>
    <row r="269" spans="1:13" x14ac:dyDescent="0.25">
      <c r="A269" s="1">
        <v>225</v>
      </c>
      <c r="B269" s="33"/>
      <c r="C269" s="71">
        <v>43441214</v>
      </c>
      <c r="D269" s="156">
        <v>58.9</v>
      </c>
      <c r="E269" s="5">
        <v>41.712000000000003</v>
      </c>
      <c r="F269" s="5">
        <v>42.381999999999998</v>
      </c>
      <c r="G269" s="5"/>
      <c r="H269" s="16">
        <f t="shared" si="37"/>
        <v>0</v>
      </c>
      <c r="I269" s="16">
        <f t="shared" ref="I269:I270" si="38">(((D269*0.015)*12)/7)</f>
        <v>1.5145714285714287</v>
      </c>
      <c r="J269" s="16">
        <f t="shared" ref="J269:J270" si="39">D269/($E$32-$E$34)*$J$31</f>
        <v>-0.6910327592301756</v>
      </c>
      <c r="K269" s="19">
        <f t="shared" si="30"/>
        <v>0.82353866934125308</v>
      </c>
      <c r="M269" s="13" t="s">
        <v>71</v>
      </c>
    </row>
    <row r="270" spans="1:13" x14ac:dyDescent="0.25">
      <c r="A270" s="1">
        <v>226</v>
      </c>
      <c r="B270" s="33"/>
      <c r="C270" s="71">
        <v>43441215</v>
      </c>
      <c r="D270" s="156">
        <v>46.8</v>
      </c>
      <c r="E270" s="5">
        <v>25.384</v>
      </c>
      <c r="F270" s="5">
        <v>26.853999999999999</v>
      </c>
      <c r="G270" s="5"/>
      <c r="H270" s="16">
        <f t="shared" si="37"/>
        <v>0</v>
      </c>
      <c r="I270" s="16">
        <f t="shared" si="38"/>
        <v>1.2034285714285713</v>
      </c>
      <c r="J270" s="16">
        <f t="shared" si="39"/>
        <v>-0.54907186981277101</v>
      </c>
      <c r="K270" s="19">
        <f t="shared" si="30"/>
        <v>0.65435670161580028</v>
      </c>
      <c r="M270" s="13" t="s">
        <v>71</v>
      </c>
    </row>
    <row r="271" spans="1:13" x14ac:dyDescent="0.25">
      <c r="A271" s="1">
        <v>227</v>
      </c>
      <c r="B271" s="47">
        <v>45927</v>
      </c>
      <c r="C271" s="71" t="s">
        <v>105</v>
      </c>
      <c r="D271" s="156">
        <v>78.2</v>
      </c>
      <c r="E271" s="5">
        <v>4.1669999999999998</v>
      </c>
      <c r="F271" s="5">
        <v>4.7069999999999999</v>
      </c>
      <c r="G271" s="5"/>
      <c r="H271" s="16">
        <f>F271-E271</f>
        <v>0.54</v>
      </c>
      <c r="I271" s="16"/>
      <c r="J271" s="16"/>
      <c r="K271" s="19">
        <f t="shared" si="30"/>
        <v>0.54</v>
      </c>
      <c r="M271" s="13" t="s">
        <v>69</v>
      </c>
    </row>
    <row r="272" spans="1:13" x14ac:dyDescent="0.25">
      <c r="A272" s="1">
        <v>228</v>
      </c>
      <c r="B272" s="33"/>
      <c r="C272" s="71">
        <v>43441212</v>
      </c>
      <c r="D272" s="156">
        <v>117.5</v>
      </c>
      <c r="E272" s="5">
        <v>40.628</v>
      </c>
      <c r="F272" s="5">
        <v>40.628</v>
      </c>
      <c r="G272" s="5"/>
      <c r="H272" s="16">
        <f t="shared" si="37"/>
        <v>0</v>
      </c>
      <c r="I272" s="16">
        <f>(((D272*0.015)*12)/7)</f>
        <v>3.0214285714285714</v>
      </c>
      <c r="J272" s="16">
        <f t="shared" ref="J272" si="40">D272/($E$32-$E$34)*$J$31</f>
        <v>-1.3785458269871924</v>
      </c>
      <c r="K272" s="19">
        <f>H272+I272+J272</f>
        <v>1.6428827444413789</v>
      </c>
      <c r="M272" s="13" t="s">
        <v>71</v>
      </c>
    </row>
    <row r="273" spans="1:13" x14ac:dyDescent="0.25">
      <c r="A273" s="1">
        <v>229</v>
      </c>
      <c r="B273" s="47">
        <v>46279</v>
      </c>
      <c r="C273" s="71">
        <v>43441218</v>
      </c>
      <c r="D273" s="156">
        <v>57.8</v>
      </c>
      <c r="E273" s="5">
        <v>25.396000000000001</v>
      </c>
      <c r="F273" s="5">
        <v>26.048999999999999</v>
      </c>
      <c r="G273" s="5">
        <f>F273-E273</f>
        <v>0.65299999999999869</v>
      </c>
      <c r="H273" s="16">
        <f t="shared" si="37"/>
        <v>0.56144939999999888</v>
      </c>
      <c r="I273" s="16"/>
      <c r="J273" s="16"/>
      <c r="K273" s="19">
        <f>H273+I273+J273</f>
        <v>0.56144939999999888</v>
      </c>
      <c r="M273" s="13" t="s">
        <v>69</v>
      </c>
    </row>
    <row r="274" spans="1:13" x14ac:dyDescent="0.25">
      <c r="A274" s="1">
        <v>230</v>
      </c>
      <c r="B274" s="47">
        <v>45914</v>
      </c>
      <c r="C274" s="71">
        <v>43441227</v>
      </c>
      <c r="D274" s="156">
        <v>58.4</v>
      </c>
      <c r="E274" s="5">
        <v>25.658000000000001</v>
      </c>
      <c r="F274" s="5">
        <v>26.338000000000001</v>
      </c>
      <c r="G274" s="5">
        <f>F274-E274</f>
        <v>0.67999999999999972</v>
      </c>
      <c r="H274" s="16">
        <f t="shared" si="37"/>
        <v>0.58466399999999974</v>
      </c>
      <c r="I274" s="16"/>
      <c r="J274" s="16"/>
      <c r="K274" s="19">
        <f t="shared" si="30"/>
        <v>0.58466399999999974</v>
      </c>
      <c r="M274" s="13" t="s">
        <v>69</v>
      </c>
    </row>
    <row r="275" spans="1:13" x14ac:dyDescent="0.25">
      <c r="A275" s="1">
        <v>231</v>
      </c>
      <c r="B275" s="33"/>
      <c r="C275" s="71">
        <v>43441216</v>
      </c>
      <c r="D275" s="156">
        <v>47</v>
      </c>
      <c r="E275" s="5">
        <v>14.618</v>
      </c>
      <c r="F275" s="5">
        <v>14.618</v>
      </c>
      <c r="G275" s="5"/>
      <c r="H275" s="16">
        <f t="shared" si="37"/>
        <v>0</v>
      </c>
      <c r="I275" s="16">
        <f>(((D275*0.015)*12)/7)</f>
        <v>1.2085714285714284</v>
      </c>
      <c r="J275" s="16">
        <f>D275/($E$32-$E$34)*$J$31</f>
        <v>-0.5514183307948769</v>
      </c>
      <c r="K275" s="19">
        <f t="shared" si="30"/>
        <v>0.65715309777655151</v>
      </c>
      <c r="M275" s="13" t="s">
        <v>71</v>
      </c>
    </row>
    <row r="276" spans="1:13" x14ac:dyDescent="0.25">
      <c r="A276" s="1">
        <v>232</v>
      </c>
      <c r="B276" s="47">
        <v>45738</v>
      </c>
      <c r="C276" s="10" t="s">
        <v>104</v>
      </c>
      <c r="D276" s="156">
        <v>78</v>
      </c>
      <c r="E276" s="39">
        <v>2.9359999999999999</v>
      </c>
      <c r="F276" s="39">
        <v>3.169</v>
      </c>
      <c r="G276" s="5"/>
      <c r="H276" s="16">
        <f>F276-E276</f>
        <v>0.2330000000000001</v>
      </c>
      <c r="I276" s="16"/>
      <c r="J276" s="16"/>
      <c r="K276" s="19">
        <f t="shared" si="30"/>
        <v>0.2330000000000001</v>
      </c>
      <c r="M276" s="13" t="s">
        <v>69</v>
      </c>
    </row>
    <row r="277" spans="1:13" x14ac:dyDescent="0.25">
      <c r="A277" s="1">
        <v>233</v>
      </c>
      <c r="B277" s="47">
        <v>45790</v>
      </c>
      <c r="C277" s="71">
        <v>43441226</v>
      </c>
      <c r="D277" s="156">
        <v>117.7</v>
      </c>
      <c r="E277" s="5">
        <v>17.556000000000001</v>
      </c>
      <c r="F277" s="5">
        <v>17.556999999999999</v>
      </c>
      <c r="G277" s="5">
        <f>F277-E277</f>
        <v>9.9999999999766942E-4</v>
      </c>
      <c r="H277" s="16">
        <f>G277*0.8598</f>
        <v>8.5979999999799615E-4</v>
      </c>
      <c r="I277" s="16"/>
      <c r="J277" s="16"/>
      <c r="K277" s="19">
        <f t="shared" si="30"/>
        <v>8.5979999999799615E-4</v>
      </c>
      <c r="M277" s="13" t="s">
        <v>69</v>
      </c>
    </row>
    <row r="278" spans="1:13" x14ac:dyDescent="0.25">
      <c r="A278" s="1">
        <v>234</v>
      </c>
      <c r="B278" s="33"/>
      <c r="C278" s="71">
        <v>43441225</v>
      </c>
      <c r="D278" s="156">
        <v>57.8</v>
      </c>
      <c r="E278" s="5">
        <v>24.885999999999999</v>
      </c>
      <c r="F278" s="5">
        <v>24.885999999999999</v>
      </c>
      <c r="G278" s="5"/>
      <c r="H278" s="16">
        <f t="shared" si="37"/>
        <v>0</v>
      </c>
      <c r="I278" s="16">
        <f>(((D278*0.015)*12)/7)</f>
        <v>1.486285714285714</v>
      </c>
      <c r="J278" s="16">
        <f>D278/($E$32-$E$34)*$J$31</f>
        <v>-0.67812722382859325</v>
      </c>
      <c r="K278" s="19">
        <f t="shared" si="30"/>
        <v>0.80815849045712074</v>
      </c>
      <c r="M278" s="13" t="s">
        <v>71</v>
      </c>
    </row>
    <row r="279" spans="1:13" x14ac:dyDescent="0.25">
      <c r="A279" s="1">
        <v>235</v>
      </c>
      <c r="B279" s="47">
        <v>45748</v>
      </c>
      <c r="C279" s="71">
        <v>43441222</v>
      </c>
      <c r="D279" s="156">
        <v>58.3</v>
      </c>
      <c r="E279" s="5">
        <v>5.23</v>
      </c>
      <c r="F279" s="5">
        <v>5.23</v>
      </c>
      <c r="G279" s="5">
        <f>F279-E279</f>
        <v>0</v>
      </c>
      <c r="H279" s="16">
        <f t="shared" si="37"/>
        <v>0</v>
      </c>
      <c r="I279" s="16"/>
      <c r="J279" s="16"/>
      <c r="K279" s="19">
        <f t="shared" si="30"/>
        <v>0</v>
      </c>
      <c r="M279" s="13" t="s">
        <v>69</v>
      </c>
    </row>
    <row r="280" spans="1:13" x14ac:dyDescent="0.25">
      <c r="A280" s="1">
        <v>236</v>
      </c>
      <c r="B280" s="33"/>
      <c r="C280" s="71">
        <v>43441223</v>
      </c>
      <c r="D280" s="156">
        <v>47</v>
      </c>
      <c r="E280" s="5">
        <v>28.978999999999999</v>
      </c>
      <c r="F280" s="5">
        <v>28.978999999999999</v>
      </c>
      <c r="G280" s="5"/>
      <c r="H280" s="16">
        <f t="shared" si="37"/>
        <v>0</v>
      </c>
      <c r="I280" s="16">
        <f>(((D280*0.015)*12)/7)</f>
        <v>1.2085714285714284</v>
      </c>
      <c r="J280" s="16">
        <f>D280/($E$32-$E$34)*$J$31</f>
        <v>-0.5514183307948769</v>
      </c>
      <c r="K280" s="19">
        <f t="shared" si="30"/>
        <v>0.65715309777655151</v>
      </c>
      <c r="M280" s="13" t="s">
        <v>71</v>
      </c>
    </row>
    <row r="281" spans="1:13" x14ac:dyDescent="0.25">
      <c r="A281" s="1">
        <v>237</v>
      </c>
      <c r="B281" s="47">
        <v>45703</v>
      </c>
      <c r="C281" s="71">
        <v>43441224</v>
      </c>
      <c r="D281" s="156">
        <v>77</v>
      </c>
      <c r="E281" s="5">
        <v>54.259</v>
      </c>
      <c r="F281" s="5">
        <v>55.338999999999999</v>
      </c>
      <c r="G281" s="5">
        <f>F281-E281</f>
        <v>1.0799999999999983</v>
      </c>
      <c r="H281" s="16">
        <f t="shared" si="37"/>
        <v>0.92858399999999852</v>
      </c>
      <c r="I281" s="16"/>
      <c r="J281" s="16"/>
      <c r="K281" s="19">
        <f t="shared" si="30"/>
        <v>0.92858399999999852</v>
      </c>
      <c r="M281" s="13" t="s">
        <v>69</v>
      </c>
    </row>
    <row r="282" spans="1:13" x14ac:dyDescent="0.25">
      <c r="A282" s="1">
        <v>238</v>
      </c>
      <c r="B282" s="47">
        <v>45957</v>
      </c>
      <c r="C282" s="71" t="s">
        <v>115</v>
      </c>
      <c r="D282" s="156">
        <v>117.8</v>
      </c>
      <c r="E282" s="39">
        <v>0</v>
      </c>
      <c r="F282" s="39">
        <v>0</v>
      </c>
      <c r="G282" s="5"/>
      <c r="H282" s="16">
        <f>F282-E282</f>
        <v>0</v>
      </c>
      <c r="I282" s="16"/>
      <c r="J282" s="16"/>
      <c r="K282" s="19">
        <f t="shared" si="30"/>
        <v>0</v>
      </c>
      <c r="M282" s="13" t="s">
        <v>69</v>
      </c>
    </row>
    <row r="283" spans="1:13" x14ac:dyDescent="0.25">
      <c r="A283" s="1">
        <v>239</v>
      </c>
      <c r="B283" s="48">
        <v>45871</v>
      </c>
      <c r="C283" s="71">
        <v>43441220</v>
      </c>
      <c r="D283" s="156">
        <v>58.1</v>
      </c>
      <c r="E283" s="5">
        <v>36.396999999999998</v>
      </c>
      <c r="F283" s="5">
        <v>36.677999999999997</v>
      </c>
      <c r="G283" s="5">
        <f>F283-E283</f>
        <v>0.28099999999999881</v>
      </c>
      <c r="H283" s="16">
        <f>G283*0.8598</f>
        <v>0.24160379999999898</v>
      </c>
      <c r="I283" s="16"/>
      <c r="J283" s="16"/>
      <c r="K283" s="19">
        <f t="shared" si="30"/>
        <v>0.24160379999999898</v>
      </c>
      <c r="M283" s="13" t="s">
        <v>69</v>
      </c>
    </row>
    <row r="284" spans="1:13" x14ac:dyDescent="0.25">
      <c r="A284" s="1">
        <v>240</v>
      </c>
      <c r="B284" s="33"/>
      <c r="C284" s="71">
        <v>20242417</v>
      </c>
      <c r="D284" s="156">
        <v>58.7</v>
      </c>
      <c r="E284" s="5">
        <v>32.841999999999999</v>
      </c>
      <c r="F284" s="5">
        <v>33.476999999999997</v>
      </c>
      <c r="G284" s="5"/>
      <c r="H284" s="16">
        <f t="shared" si="37"/>
        <v>0</v>
      </c>
      <c r="I284" s="16">
        <f t="shared" ref="I284:I286" si="41">(((D284*0.015)*12)/7)</f>
        <v>1.5094285714285716</v>
      </c>
      <c r="J284" s="16">
        <f t="shared" ref="J284:J286" si="42">D284/($E$32-$E$34)*$J$31</f>
        <v>-0.68868629824806971</v>
      </c>
      <c r="K284" s="19">
        <f t="shared" si="30"/>
        <v>0.82074227318050186</v>
      </c>
      <c r="M284" s="13" t="s">
        <v>71</v>
      </c>
    </row>
    <row r="285" spans="1:13" x14ac:dyDescent="0.25">
      <c r="A285" s="1">
        <v>241</v>
      </c>
      <c r="B285" s="33"/>
      <c r="C285" s="71">
        <v>20242445</v>
      </c>
      <c r="D285" s="156">
        <v>46.5</v>
      </c>
      <c r="E285" s="5">
        <v>24.405000000000001</v>
      </c>
      <c r="F285" s="5">
        <v>24.847000000000001</v>
      </c>
      <c r="G285" s="5"/>
      <c r="H285" s="16">
        <f t="shared" si="37"/>
        <v>0</v>
      </c>
      <c r="I285" s="16">
        <f t="shared" si="41"/>
        <v>1.195714285714286</v>
      </c>
      <c r="J285" s="16">
        <f t="shared" si="42"/>
        <v>-0.54555217833961223</v>
      </c>
      <c r="K285" s="19">
        <f t="shared" si="30"/>
        <v>0.65016210737467373</v>
      </c>
      <c r="M285" s="13" t="s">
        <v>71</v>
      </c>
    </row>
    <row r="286" spans="1:13" x14ac:dyDescent="0.25">
      <c r="A286" s="1">
        <v>242</v>
      </c>
      <c r="B286" s="33"/>
      <c r="C286" s="71">
        <v>43441219</v>
      </c>
      <c r="D286" s="156">
        <v>78.3</v>
      </c>
      <c r="E286" s="5">
        <v>67.569000000000003</v>
      </c>
      <c r="F286" s="5">
        <v>68.87</v>
      </c>
      <c r="G286" s="5"/>
      <c r="H286" s="16">
        <f t="shared" si="37"/>
        <v>0</v>
      </c>
      <c r="I286" s="16">
        <f t="shared" si="41"/>
        <v>2.0134285714285709</v>
      </c>
      <c r="J286" s="16">
        <f t="shared" si="42"/>
        <v>-0.91863947449444383</v>
      </c>
      <c r="K286" s="19">
        <f t="shared" si="30"/>
        <v>1.094789096934127</v>
      </c>
      <c r="M286" s="13" t="s">
        <v>71</v>
      </c>
    </row>
    <row r="287" spans="1:13" x14ac:dyDescent="0.25">
      <c r="A287" s="1">
        <v>243</v>
      </c>
      <c r="B287" s="47">
        <v>46248</v>
      </c>
      <c r="C287" s="71">
        <v>20242421</v>
      </c>
      <c r="D287" s="156">
        <v>117.2</v>
      </c>
      <c r="E287" s="5">
        <v>58.264000000000003</v>
      </c>
      <c r="F287" s="5">
        <v>59.664999999999999</v>
      </c>
      <c r="G287" s="5">
        <f>F287-E287</f>
        <v>1.4009999999999962</v>
      </c>
      <c r="H287" s="16">
        <f>G287*0.8598</f>
        <v>1.2045797999999968</v>
      </c>
      <c r="I287" s="16"/>
      <c r="J287" s="16"/>
      <c r="K287" s="19">
        <f t="shared" si="30"/>
        <v>1.2045797999999968</v>
      </c>
      <c r="M287" s="13" t="s">
        <v>69</v>
      </c>
    </row>
    <row r="288" spans="1:13" x14ac:dyDescent="0.25">
      <c r="A288" s="1">
        <v>244</v>
      </c>
      <c r="B288" s="47">
        <v>45803</v>
      </c>
      <c r="C288" s="71">
        <v>20242431</v>
      </c>
      <c r="D288" s="156">
        <v>57.8</v>
      </c>
      <c r="E288" s="5">
        <v>13.053000000000001</v>
      </c>
      <c r="F288" s="5">
        <v>13.664</v>
      </c>
      <c r="G288" s="5">
        <f>F288-E288</f>
        <v>0.61099999999999888</v>
      </c>
      <c r="H288" s="16">
        <f t="shared" si="37"/>
        <v>0.52533779999999908</v>
      </c>
      <c r="I288" s="19"/>
      <c r="J288" s="16"/>
      <c r="K288" s="19">
        <f t="shared" si="30"/>
        <v>0.52533779999999908</v>
      </c>
      <c r="M288" s="13" t="s">
        <v>69</v>
      </c>
    </row>
    <row r="289" spans="1:13" x14ac:dyDescent="0.25">
      <c r="A289" s="1">
        <v>245</v>
      </c>
      <c r="B289" s="47">
        <v>45887</v>
      </c>
      <c r="C289" s="71">
        <v>20242432</v>
      </c>
      <c r="D289" s="156">
        <v>58.2</v>
      </c>
      <c r="E289" s="5">
        <v>12.154</v>
      </c>
      <c r="F289" s="5">
        <v>12.154</v>
      </c>
      <c r="G289" s="5">
        <f>F289-E289</f>
        <v>0</v>
      </c>
      <c r="H289" s="16">
        <f>G289*0.8598</f>
        <v>0</v>
      </c>
      <c r="I289" s="19"/>
      <c r="J289" s="16"/>
      <c r="K289" s="19">
        <f t="shared" si="30"/>
        <v>0</v>
      </c>
      <c r="M289" s="13" t="s">
        <v>69</v>
      </c>
    </row>
    <row r="290" spans="1:13" x14ac:dyDescent="0.25">
      <c r="A290" s="1">
        <v>246</v>
      </c>
      <c r="B290" s="33"/>
      <c r="C290" s="71">
        <v>20242451</v>
      </c>
      <c r="D290" s="156">
        <v>45.8</v>
      </c>
      <c r="E290" s="5">
        <v>25.164000000000001</v>
      </c>
      <c r="F290" s="5">
        <v>25.911000000000001</v>
      </c>
      <c r="G290" s="5"/>
      <c r="H290" s="16">
        <f>G290*0.8598</f>
        <v>0</v>
      </c>
      <c r="I290" s="16">
        <f>(((D290*0.015)*12)/7)</f>
        <v>1.1777142857142857</v>
      </c>
      <c r="J290" s="16">
        <f>D290/($E$32-$E$34)*$J$31</f>
        <v>-0.53733956490224166</v>
      </c>
      <c r="K290" s="19">
        <f t="shared" si="30"/>
        <v>0.64037472081204405</v>
      </c>
      <c r="M290" s="13" t="s">
        <v>71</v>
      </c>
    </row>
    <row r="291" spans="1:13" ht="15.75" thickBot="1" x14ac:dyDescent="0.3">
      <c r="A291" s="42">
        <v>247</v>
      </c>
      <c r="B291" s="47">
        <v>45887</v>
      </c>
      <c r="C291" s="72">
        <v>20242442</v>
      </c>
      <c r="D291" s="163">
        <v>77.599999999999994</v>
      </c>
      <c r="E291" s="27">
        <v>34.548999999999999</v>
      </c>
      <c r="F291" s="27">
        <v>34.548999999999999</v>
      </c>
      <c r="G291" s="5">
        <f>F291-E291</f>
        <v>0</v>
      </c>
      <c r="H291" s="95">
        <f>G291*0.8598</f>
        <v>0</v>
      </c>
      <c r="I291" s="96"/>
      <c r="J291" s="16"/>
      <c r="K291" s="19">
        <f t="shared" si="30"/>
        <v>0</v>
      </c>
      <c r="M291" s="13" t="s">
        <v>69</v>
      </c>
    </row>
    <row r="292" spans="1:13" ht="15.75" thickBot="1" x14ac:dyDescent="0.3">
      <c r="A292" s="219" t="s">
        <v>81</v>
      </c>
      <c r="B292" s="220"/>
      <c r="C292" s="220"/>
      <c r="D292" s="92">
        <f>SUM(D227:D291)</f>
        <v>4660.1000000000022</v>
      </c>
      <c r="E292" s="221" t="s">
        <v>82</v>
      </c>
      <c r="F292" s="221"/>
      <c r="G292" s="221"/>
      <c r="H292" s="64">
        <f>SUM(H227:H291)</f>
        <v>12.817295399999985</v>
      </c>
      <c r="I292" s="64">
        <f>SUM(I227:I291)</f>
        <v>37.239428571428569</v>
      </c>
      <c r="J292" s="64">
        <f>SUM(J227:J291)</f>
        <v>-16.99072397142853</v>
      </c>
      <c r="K292" s="93">
        <f>SUM(K227:K291)</f>
        <v>33.066000000000024</v>
      </c>
      <c r="M292" s="13"/>
    </row>
    <row r="293" spans="1:13" x14ac:dyDescent="0.25">
      <c r="A293" s="222" t="s">
        <v>3</v>
      </c>
      <c r="B293" s="222"/>
      <c r="C293" s="222"/>
      <c r="D293" s="97">
        <f>SUM(D116,D173,D226,D292)</f>
        <v>17590.400000000005</v>
      </c>
      <c r="E293" s="65">
        <f>SUM(E42:E291)</f>
        <v>6914.4456000000027</v>
      </c>
      <c r="F293" s="65">
        <f>SUM(F42:F291)</f>
        <v>6982.0841999999984</v>
      </c>
      <c r="G293" s="6">
        <f>F293-E293</f>
        <v>67.638599999995677</v>
      </c>
      <c r="H293" s="65">
        <f>SUM(H116,H173,H226,H292)</f>
        <v>40.739059399999974</v>
      </c>
      <c r="I293" s="65">
        <f>SUM(I116,I173,I226,I292)</f>
        <v>97.742571428571438</v>
      </c>
      <c r="J293" s="65">
        <f>SUM(J116,J173,J226,J292)</f>
        <v>-29.036630828571372</v>
      </c>
      <c r="K293" s="65">
        <f>SUM(K116,K173,K226,K292)</f>
        <v>109.44500000000002</v>
      </c>
      <c r="L293" s="20"/>
      <c r="M293" s="21"/>
    </row>
    <row r="294" spans="1:13" x14ac:dyDescent="0.25">
      <c r="H294" s="98"/>
      <c r="I294" s="98"/>
      <c r="L294" s="62"/>
      <c r="M294" s="12"/>
    </row>
    <row r="295" spans="1:13" x14ac:dyDescent="0.25">
      <c r="J295" s="2"/>
      <c r="K295" s="2"/>
      <c r="M295" s="62"/>
    </row>
    <row r="296" spans="1:13" ht="18.75" customHeight="1" x14ac:dyDescent="0.25">
      <c r="A296" s="207" t="s">
        <v>34</v>
      </c>
      <c r="B296" s="40" t="s">
        <v>61</v>
      </c>
      <c r="C296" s="209" t="s">
        <v>35</v>
      </c>
      <c r="D296" s="211" t="s">
        <v>2</v>
      </c>
      <c r="E296" s="17" t="s">
        <v>153</v>
      </c>
      <c r="F296" s="17" t="s">
        <v>158</v>
      </c>
      <c r="G296" s="99" t="s">
        <v>53</v>
      </c>
      <c r="H296" s="4"/>
      <c r="I296" s="4"/>
      <c r="J296" s="2"/>
      <c r="K296" s="2"/>
    </row>
    <row r="297" spans="1:13" ht="18.75" customHeight="1" x14ac:dyDescent="0.25">
      <c r="A297" s="208"/>
      <c r="B297" s="100" t="s">
        <v>62</v>
      </c>
      <c r="C297" s="210"/>
      <c r="D297" s="212"/>
      <c r="E297" s="25" t="s">
        <v>36</v>
      </c>
      <c r="F297" s="25" t="s">
        <v>36</v>
      </c>
      <c r="G297" s="32" t="s">
        <v>54</v>
      </c>
      <c r="J297" s="2"/>
      <c r="K297" s="2"/>
    </row>
    <row r="298" spans="1:13" x14ac:dyDescent="0.25">
      <c r="A298" s="101" t="s">
        <v>37</v>
      </c>
      <c r="B298" s="102"/>
      <c r="C298" s="26">
        <v>43441481</v>
      </c>
      <c r="D298" s="26">
        <v>120.9</v>
      </c>
      <c r="E298" s="22">
        <v>62.444000000000003</v>
      </c>
      <c r="F298" s="22">
        <v>62.761000000000003</v>
      </c>
      <c r="G298" s="22">
        <f>(F298-E298)*0.8598</f>
        <v>0.27255660000000015</v>
      </c>
      <c r="J298" s="2"/>
      <c r="K298" s="2"/>
    </row>
    <row r="299" spans="1:13" x14ac:dyDescent="0.25">
      <c r="A299" s="101" t="s">
        <v>38</v>
      </c>
      <c r="B299" s="102"/>
      <c r="C299" s="26">
        <v>2115009837</v>
      </c>
      <c r="D299" s="26">
        <v>68.5</v>
      </c>
      <c r="E299" s="22">
        <v>0</v>
      </c>
      <c r="F299" s="22">
        <v>0</v>
      </c>
      <c r="G299" s="22">
        <f t="shared" ref="G299:G312" si="43">(F299-E299)*0.8598</f>
        <v>0</v>
      </c>
      <c r="J299" s="2"/>
      <c r="K299" s="2"/>
    </row>
    <row r="300" spans="1:13" x14ac:dyDescent="0.25">
      <c r="A300" s="101" t="s">
        <v>39</v>
      </c>
      <c r="B300" s="102"/>
      <c r="C300" s="26">
        <v>43441179</v>
      </c>
      <c r="D300" s="26">
        <v>106.9</v>
      </c>
      <c r="E300" s="22">
        <v>36.182000000000002</v>
      </c>
      <c r="F300" s="22">
        <v>36.182000000000002</v>
      </c>
      <c r="G300" s="22">
        <f t="shared" si="43"/>
        <v>0</v>
      </c>
      <c r="J300" s="2"/>
      <c r="K300" s="2"/>
    </row>
    <row r="301" spans="1:13" x14ac:dyDescent="0.25">
      <c r="A301" s="101" t="s">
        <v>40</v>
      </c>
      <c r="B301" s="102"/>
      <c r="C301" s="26">
        <v>43441177</v>
      </c>
      <c r="D301" s="26">
        <v>163.80000000000001</v>
      </c>
      <c r="E301" s="22">
        <v>189.64099999999999</v>
      </c>
      <c r="F301" s="22">
        <v>189.64099999999999</v>
      </c>
      <c r="G301" s="22">
        <f t="shared" si="43"/>
        <v>0</v>
      </c>
      <c r="J301" s="2"/>
      <c r="K301" s="2"/>
    </row>
    <row r="302" spans="1:13" x14ac:dyDescent="0.25">
      <c r="A302" s="101" t="s">
        <v>41</v>
      </c>
      <c r="B302" s="102"/>
      <c r="C302" s="26">
        <v>43441482</v>
      </c>
      <c r="D302" s="26">
        <v>109.8</v>
      </c>
      <c r="E302" s="22">
        <v>150.239</v>
      </c>
      <c r="F302" s="22">
        <v>151.08500000000001</v>
      </c>
      <c r="G302" s="22">
        <f t="shared" si="43"/>
        <v>0.72739080000000311</v>
      </c>
      <c r="I302" s="186"/>
      <c r="J302" s="186"/>
      <c r="K302" s="2"/>
    </row>
    <row r="303" spans="1:13" x14ac:dyDescent="0.25">
      <c r="A303" s="101" t="s">
        <v>42</v>
      </c>
      <c r="B303" s="102"/>
      <c r="C303" s="26">
        <v>43441483</v>
      </c>
      <c r="D303" s="26">
        <v>58.7</v>
      </c>
      <c r="E303" s="22">
        <v>192.90100000000001</v>
      </c>
      <c r="F303" s="22">
        <v>193.44200000000001</v>
      </c>
      <c r="G303" s="22">
        <f t="shared" si="43"/>
        <v>0.46515179999999728</v>
      </c>
      <c r="J303" s="2"/>
      <c r="K303" s="2"/>
    </row>
    <row r="304" spans="1:13" x14ac:dyDescent="0.25">
      <c r="A304" s="101" t="s">
        <v>43</v>
      </c>
      <c r="B304" s="102"/>
      <c r="C304" s="26">
        <v>41444210</v>
      </c>
      <c r="D304" s="26">
        <v>89.1</v>
      </c>
      <c r="E304" s="22">
        <v>168.75</v>
      </c>
      <c r="F304" s="22">
        <v>169.55</v>
      </c>
      <c r="G304" s="22">
        <f t="shared" si="43"/>
        <v>0.68784000000000978</v>
      </c>
      <c r="J304" s="2"/>
      <c r="K304" s="2"/>
    </row>
    <row r="305" spans="1:13" x14ac:dyDescent="0.25">
      <c r="A305" s="101" t="s">
        <v>44</v>
      </c>
      <c r="B305" s="102"/>
      <c r="C305" s="25" t="s">
        <v>159</v>
      </c>
      <c r="D305" s="26">
        <v>56.5</v>
      </c>
      <c r="E305" s="22">
        <v>0</v>
      </c>
      <c r="F305" s="22">
        <v>0.56799999999999995</v>
      </c>
      <c r="G305" s="22">
        <f t="shared" si="43"/>
        <v>0.48836639999999998</v>
      </c>
      <c r="J305" s="2"/>
      <c r="K305" s="2"/>
    </row>
    <row r="306" spans="1:13" x14ac:dyDescent="0.25">
      <c r="A306" s="101" t="s">
        <v>45</v>
      </c>
      <c r="B306" s="102"/>
      <c r="C306" s="26">
        <v>20242426</v>
      </c>
      <c r="D306" s="26">
        <v>96</v>
      </c>
      <c r="E306" s="22">
        <v>135.172</v>
      </c>
      <c r="F306" s="22">
        <v>137.114</v>
      </c>
      <c r="G306" s="22">
        <f t="shared" si="43"/>
        <v>1.6697316000000062</v>
      </c>
      <c r="J306" s="2"/>
      <c r="K306" s="2"/>
    </row>
    <row r="307" spans="1:13" x14ac:dyDescent="0.25">
      <c r="A307" s="101" t="s">
        <v>46</v>
      </c>
      <c r="B307" s="102"/>
      <c r="C307" s="26">
        <v>20242457</v>
      </c>
      <c r="D307" s="26">
        <v>103.3</v>
      </c>
      <c r="E307" s="22">
        <v>134.322</v>
      </c>
      <c r="F307" s="22">
        <v>134.322</v>
      </c>
      <c r="G307" s="22">
        <f t="shared" si="43"/>
        <v>0</v>
      </c>
      <c r="J307" s="2"/>
      <c r="K307" s="2"/>
    </row>
    <row r="308" spans="1:13" x14ac:dyDescent="0.25">
      <c r="A308" s="101" t="s">
        <v>47</v>
      </c>
      <c r="B308" s="102"/>
      <c r="C308" s="26">
        <v>1900446</v>
      </c>
      <c r="D308" s="26">
        <v>43.4</v>
      </c>
      <c r="E308" s="22">
        <v>0</v>
      </c>
      <c r="F308" s="22">
        <v>0.65300000000000002</v>
      </c>
      <c r="G308" s="22">
        <f t="shared" si="43"/>
        <v>0.56144939999999999</v>
      </c>
      <c r="J308" s="2"/>
      <c r="K308" s="2"/>
    </row>
    <row r="309" spans="1:13" x14ac:dyDescent="0.25">
      <c r="A309" s="101" t="s">
        <v>48</v>
      </c>
      <c r="B309" s="102"/>
      <c r="C309" s="26">
        <v>20442453</v>
      </c>
      <c r="D309" s="26">
        <v>79.900000000000006</v>
      </c>
      <c r="E309" s="22">
        <v>116.02500000000001</v>
      </c>
      <c r="F309" s="22">
        <v>117.062</v>
      </c>
      <c r="G309" s="22">
        <f t="shared" si="43"/>
        <v>0.89161259999999309</v>
      </c>
      <c r="J309" s="2"/>
      <c r="K309" s="2"/>
    </row>
    <row r="310" spans="1:13" x14ac:dyDescent="0.25">
      <c r="A310" s="101" t="s">
        <v>49</v>
      </c>
      <c r="B310" s="102"/>
      <c r="C310" s="26">
        <v>20242456</v>
      </c>
      <c r="D310" s="26">
        <v>106.1</v>
      </c>
      <c r="E310" s="22">
        <v>49.536000000000001</v>
      </c>
      <c r="F310" s="22">
        <v>49.536000000000001</v>
      </c>
      <c r="G310" s="22">
        <f t="shared" si="43"/>
        <v>0</v>
      </c>
      <c r="J310" s="2"/>
      <c r="K310" s="2"/>
    </row>
    <row r="311" spans="1:13" x14ac:dyDescent="0.25">
      <c r="A311" s="101" t="s">
        <v>50</v>
      </c>
      <c r="B311" s="102"/>
      <c r="C311" s="26">
        <v>20242415</v>
      </c>
      <c r="D311" s="26">
        <v>137.9</v>
      </c>
      <c r="E311" s="22">
        <v>201.50899999999999</v>
      </c>
      <c r="F311" s="22">
        <v>201.50899999999999</v>
      </c>
      <c r="G311" s="22">
        <f t="shared" si="43"/>
        <v>0</v>
      </c>
      <c r="J311" s="2"/>
      <c r="K311" s="2"/>
    </row>
    <row r="312" spans="1:13" x14ac:dyDescent="0.25">
      <c r="A312" s="101" t="s">
        <v>51</v>
      </c>
      <c r="B312" s="102"/>
      <c r="C312" s="26">
        <v>20242418</v>
      </c>
      <c r="D312" s="26">
        <v>56.4</v>
      </c>
      <c r="E312" s="22">
        <v>215.54400000000001</v>
      </c>
      <c r="F312" s="22">
        <v>218.25</v>
      </c>
      <c r="G312" s="22">
        <f t="shared" si="43"/>
        <v>2.3266187999999906</v>
      </c>
      <c r="J312" s="2"/>
      <c r="K312" s="2"/>
    </row>
    <row r="313" spans="1:13" x14ac:dyDescent="0.25">
      <c r="C313" s="18"/>
      <c r="D313" s="26">
        <f>SUM(D298:D312)</f>
        <v>1397.2</v>
      </c>
      <c r="E313" s="23">
        <f>SUM(E298:E312)</f>
        <v>1652.2650000000001</v>
      </c>
      <c r="F313" s="23">
        <f>SUM(F298:F312)</f>
        <v>1661.675</v>
      </c>
      <c r="G313" s="23">
        <f>SUM(G298:G312)</f>
        <v>8.090717999999999</v>
      </c>
      <c r="J313" s="2"/>
      <c r="K313" s="2"/>
    </row>
    <row r="314" spans="1:13" x14ac:dyDescent="0.25">
      <c r="A314" s="103"/>
      <c r="B314" s="103"/>
      <c r="C314" s="103"/>
      <c r="D314" s="103"/>
      <c r="E314" s="103"/>
      <c r="F314" s="103"/>
      <c r="G314" s="103"/>
      <c r="J314" s="2"/>
      <c r="K314" s="2"/>
      <c r="M314" s="62"/>
    </row>
    <row r="315" spans="1:13" x14ac:dyDescent="0.25">
      <c r="A315" s="104" t="s">
        <v>14</v>
      </c>
      <c r="G315" s="103"/>
      <c r="J315" s="2"/>
      <c r="K315" s="2"/>
      <c r="M315" s="62"/>
    </row>
    <row r="316" spans="1:13" x14ac:dyDescent="0.25">
      <c r="A316" s="103"/>
      <c r="F316" s="103"/>
      <c r="J316" s="2"/>
      <c r="K316" s="2"/>
      <c r="L316" s="62"/>
      <c r="M316" s="62"/>
    </row>
    <row r="317" spans="1:13" x14ac:dyDescent="0.25">
      <c r="J317" s="2"/>
      <c r="K317" s="2"/>
      <c r="L317" s="62"/>
      <c r="M317" s="62"/>
    </row>
  </sheetData>
  <mergeCells count="80">
    <mergeCell ref="B12:D12"/>
    <mergeCell ref="F12:H12"/>
    <mergeCell ref="A1:M1"/>
    <mergeCell ref="A3:M3"/>
    <mergeCell ref="A4:M4"/>
    <mergeCell ref="A6:J6"/>
    <mergeCell ref="M6:M10"/>
    <mergeCell ref="A7:E7"/>
    <mergeCell ref="F7:H7"/>
    <mergeCell ref="A8:E8"/>
    <mergeCell ref="F8:H8"/>
    <mergeCell ref="A9:A14"/>
    <mergeCell ref="B9:E10"/>
    <mergeCell ref="F9:H9"/>
    <mergeCell ref="F10:H10"/>
    <mergeCell ref="B11:D11"/>
    <mergeCell ref="F11:J11"/>
    <mergeCell ref="B19:D19"/>
    <mergeCell ref="F19:H19"/>
    <mergeCell ref="B20:D20"/>
    <mergeCell ref="F20:H20"/>
    <mergeCell ref="B13:D13"/>
    <mergeCell ref="F13:H13"/>
    <mergeCell ref="B14:D14"/>
    <mergeCell ref="F14:H14"/>
    <mergeCell ref="A15:E15"/>
    <mergeCell ref="F15:H15"/>
    <mergeCell ref="B21:D21"/>
    <mergeCell ref="F21:H21"/>
    <mergeCell ref="A22:E22"/>
    <mergeCell ref="F22:H22"/>
    <mergeCell ref="A23:A28"/>
    <mergeCell ref="B23:E24"/>
    <mergeCell ref="F23:H23"/>
    <mergeCell ref="F24:H24"/>
    <mergeCell ref="B25:D25"/>
    <mergeCell ref="F25:J25"/>
    <mergeCell ref="A16:A21"/>
    <mergeCell ref="B16:E17"/>
    <mergeCell ref="F16:H16"/>
    <mergeCell ref="F17:H17"/>
    <mergeCell ref="B18:D18"/>
    <mergeCell ref="F18:J18"/>
    <mergeCell ref="B26:D26"/>
    <mergeCell ref="F26:H26"/>
    <mergeCell ref="B27:D27"/>
    <mergeCell ref="F27:H27"/>
    <mergeCell ref="B28:D28"/>
    <mergeCell ref="F28:H28"/>
    <mergeCell ref="J36:J37"/>
    <mergeCell ref="F37:H37"/>
    <mergeCell ref="A29:E29"/>
    <mergeCell ref="F29:H29"/>
    <mergeCell ref="A30:A35"/>
    <mergeCell ref="B30:E31"/>
    <mergeCell ref="F30:H30"/>
    <mergeCell ref="F31:H31"/>
    <mergeCell ref="B32:D32"/>
    <mergeCell ref="F32:J32"/>
    <mergeCell ref="B33:D33"/>
    <mergeCell ref="F33:H33"/>
    <mergeCell ref="B34:D34"/>
    <mergeCell ref="F34:H34"/>
    <mergeCell ref="B35:D35"/>
    <mergeCell ref="F35:H35"/>
    <mergeCell ref="F36:H36"/>
    <mergeCell ref="A296:A297"/>
    <mergeCell ref="C296:C297"/>
    <mergeCell ref="D296:D297"/>
    <mergeCell ref="F38:H38"/>
    <mergeCell ref="F39:H39"/>
    <mergeCell ref="A116:C116"/>
    <mergeCell ref="E116:G116"/>
    <mergeCell ref="A173:C173"/>
    <mergeCell ref="E173:G173"/>
    <mergeCell ref="A226:C226"/>
    <mergeCell ref="E226:G226"/>
    <mergeCell ref="A292:C292"/>
    <mergeCell ref="E292:G292"/>
    <mergeCell ref="A293:C293"/>
  </mergeCells>
  <pageMargins left="0.78740157480314965" right="0" top="0" bottom="0" header="0.31496062992125984" footer="0.31496062992125984"/>
  <pageSetup paperSize="9" scale="1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32"/>
  <sheetViews>
    <sheetView topLeftCell="A305" zoomScaleNormal="100" workbookViewId="0">
      <selection activeCell="P284" sqref="P284"/>
    </sheetView>
  </sheetViews>
  <sheetFormatPr defaultRowHeight="15" x14ac:dyDescent="0.25"/>
  <cols>
    <col min="1" max="1" width="6.42578125" style="2" customWidth="1"/>
    <col min="2" max="2" width="16" style="2" customWidth="1"/>
    <col min="3" max="3" width="15" style="2" customWidth="1"/>
    <col min="4" max="4" width="9.5703125" style="2" customWidth="1"/>
    <col min="5" max="5" width="10.5703125" style="2" customWidth="1"/>
    <col min="6" max="8" width="10.28515625" style="2" customWidth="1"/>
    <col min="9" max="9" width="12.28515625" style="2" customWidth="1"/>
    <col min="10" max="10" width="11.28515625" style="62" customWidth="1"/>
    <col min="11" max="11" width="9.42578125" style="62" customWidth="1"/>
    <col min="12" max="12" width="2.140625" style="2" customWidth="1"/>
    <col min="13" max="13" width="26" style="2" customWidth="1"/>
    <col min="14" max="14" width="9.5703125" style="184" bestFit="1" customWidth="1"/>
    <col min="15" max="15" width="9.140625" style="2"/>
    <col min="16" max="16" width="12.5703125" style="2" bestFit="1" customWidth="1"/>
    <col min="17" max="16384" width="9.140625" style="2"/>
  </cols>
  <sheetData>
    <row r="1" spans="1:13" ht="20.25" x14ac:dyDescent="0.3">
      <c r="A1" s="255" t="s">
        <v>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ht="14.45" customHeight="1" x14ac:dyDescent="0.3">
      <c r="A2" s="161"/>
      <c r="B2" s="161"/>
      <c r="C2" s="161"/>
      <c r="D2" s="161"/>
      <c r="E2" s="161"/>
      <c r="F2" s="161"/>
      <c r="G2" s="161"/>
      <c r="H2" s="161"/>
      <c r="I2" s="161"/>
      <c r="J2" s="60"/>
      <c r="K2" s="60"/>
      <c r="L2" s="161"/>
      <c r="M2" s="161"/>
    </row>
    <row r="3" spans="1:13" ht="18.75" x14ac:dyDescent="0.25">
      <c r="A3" s="256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ht="18.75" x14ac:dyDescent="0.25">
      <c r="A4" s="256" t="s">
        <v>160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ht="17.4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3" ht="16.149999999999999" customHeight="1" x14ac:dyDescent="0.25">
      <c r="A6" s="237" t="s">
        <v>8</v>
      </c>
      <c r="B6" s="238"/>
      <c r="C6" s="238"/>
      <c r="D6" s="238"/>
      <c r="E6" s="238"/>
      <c r="F6" s="238"/>
      <c r="G6" s="238"/>
      <c r="H6" s="238"/>
      <c r="I6" s="238"/>
      <c r="J6" s="239"/>
      <c r="K6" s="160"/>
      <c r="L6" s="75" t="s">
        <v>10</v>
      </c>
      <c r="M6" s="211" t="s">
        <v>11</v>
      </c>
    </row>
    <row r="7" spans="1:13" ht="37.9" customHeight="1" thickBot="1" x14ac:dyDescent="0.3">
      <c r="A7" s="258" t="s">
        <v>4</v>
      </c>
      <c r="B7" s="258"/>
      <c r="C7" s="258"/>
      <c r="D7" s="258"/>
      <c r="E7" s="258"/>
      <c r="F7" s="244" t="s">
        <v>5</v>
      </c>
      <c r="G7" s="245"/>
      <c r="H7" s="245"/>
      <c r="I7" s="54"/>
      <c r="J7" s="152" t="s">
        <v>161</v>
      </c>
      <c r="K7" s="106"/>
      <c r="L7" s="75"/>
      <c r="M7" s="257"/>
    </row>
    <row r="8" spans="1:13" ht="27" customHeight="1" thickBot="1" x14ac:dyDescent="0.3">
      <c r="A8" s="259" t="s">
        <v>29</v>
      </c>
      <c r="B8" s="260"/>
      <c r="C8" s="261"/>
      <c r="D8" s="261"/>
      <c r="E8" s="261"/>
      <c r="F8" s="262" t="s">
        <v>63</v>
      </c>
      <c r="G8" s="263"/>
      <c r="H8" s="264"/>
      <c r="I8" s="164"/>
      <c r="J8" s="50">
        <v>60.838000000000001</v>
      </c>
      <c r="K8" s="76"/>
      <c r="L8" s="75"/>
      <c r="M8" s="257"/>
    </row>
    <row r="9" spans="1:13" ht="13.9" customHeight="1" x14ac:dyDescent="0.25">
      <c r="A9" s="247"/>
      <c r="B9" s="262" t="s">
        <v>64</v>
      </c>
      <c r="C9" s="263"/>
      <c r="D9" s="263"/>
      <c r="E9" s="264"/>
      <c r="F9" s="268" t="s">
        <v>16</v>
      </c>
      <c r="G9" s="269"/>
      <c r="H9" s="270"/>
      <c r="I9" s="165"/>
      <c r="J9" s="43">
        <f>J13+J12+J14</f>
        <v>55.109772006263391</v>
      </c>
      <c r="K9" s="77"/>
      <c r="L9" s="75"/>
      <c r="M9" s="257"/>
    </row>
    <row r="10" spans="1:13" ht="13.9" customHeight="1" x14ac:dyDescent="0.25">
      <c r="A10" s="229"/>
      <c r="B10" s="265"/>
      <c r="C10" s="266"/>
      <c r="D10" s="266"/>
      <c r="E10" s="267"/>
      <c r="F10" s="237" t="s">
        <v>18</v>
      </c>
      <c r="G10" s="238"/>
      <c r="H10" s="239"/>
      <c r="I10" s="157"/>
      <c r="J10" s="31">
        <f>J8-J13-J12-J14</f>
        <v>5.7282279937366098</v>
      </c>
      <c r="K10" s="77"/>
      <c r="L10" s="75"/>
      <c r="M10" s="212"/>
    </row>
    <row r="11" spans="1:13" ht="13.9" customHeight="1" x14ac:dyDescent="0.25">
      <c r="A11" s="229"/>
      <c r="B11" s="240" t="s">
        <v>65</v>
      </c>
      <c r="C11" s="241"/>
      <c r="D11" s="241"/>
      <c r="E11" s="55">
        <f>D120</f>
        <v>5798.800000000002</v>
      </c>
      <c r="F11" s="234"/>
      <c r="G11" s="235"/>
      <c r="H11" s="235"/>
      <c r="I11" s="235"/>
      <c r="J11" s="236"/>
      <c r="K11" s="77"/>
      <c r="L11" s="75"/>
      <c r="M11" s="41"/>
    </row>
    <row r="12" spans="1:13" ht="25.5" customHeight="1" x14ac:dyDescent="0.25">
      <c r="A12" s="229"/>
      <c r="B12" s="240" t="s">
        <v>67</v>
      </c>
      <c r="C12" s="241"/>
      <c r="D12" s="271"/>
      <c r="E12" s="56">
        <f>SUM(D45,D49,D54,D56,D62,D69,D72,D77,D80,D86,D92:D93,D96,D98,D106,D112:D113)</f>
        <v>1166.4999999999998</v>
      </c>
      <c r="F12" s="237" t="s">
        <v>83</v>
      </c>
      <c r="G12" s="238"/>
      <c r="H12" s="239"/>
      <c r="I12" s="156"/>
      <c r="J12" s="7">
        <f>I120</f>
        <v>31.703137606263368</v>
      </c>
      <c r="K12" s="77"/>
      <c r="L12" s="75"/>
      <c r="M12" s="44"/>
    </row>
    <row r="13" spans="1:13" ht="25.5" customHeight="1" x14ac:dyDescent="0.25">
      <c r="A13" s="229"/>
      <c r="B13" s="240" t="s">
        <v>84</v>
      </c>
      <c r="C13" s="241"/>
      <c r="D13" s="241"/>
      <c r="E13" s="56">
        <f>SUM(D42:D44,D46:D48,D50:D53,D55,D57:D61,D63:D68,D70:D71,D73:D76,D78:D79,D81:D85,D87:D91,D94:D95,D97,D99:D105,D107:D111,D114:D115)</f>
        <v>4172.2000000000016</v>
      </c>
      <c r="F13" s="237" t="s">
        <v>66</v>
      </c>
      <c r="G13" s="238"/>
      <c r="H13" s="239"/>
      <c r="I13" s="157"/>
      <c r="J13" s="7">
        <f>H120</f>
        <v>23.406634400000023</v>
      </c>
      <c r="K13" s="77"/>
      <c r="L13" s="75"/>
      <c r="M13" s="41"/>
    </row>
    <row r="14" spans="1:13" ht="25.5" customHeight="1" thickBot="1" x14ac:dyDescent="0.3">
      <c r="A14" s="230"/>
      <c r="B14" s="242" t="s">
        <v>85</v>
      </c>
      <c r="C14" s="243"/>
      <c r="D14" s="243"/>
      <c r="E14" s="57">
        <v>0</v>
      </c>
      <c r="F14" s="244" t="s">
        <v>86</v>
      </c>
      <c r="G14" s="245"/>
      <c r="H14" s="246"/>
      <c r="I14" s="158"/>
      <c r="J14" s="46">
        <v>0</v>
      </c>
      <c r="K14" s="77"/>
      <c r="L14" s="75"/>
      <c r="M14" s="41"/>
    </row>
    <row r="15" spans="1:13" ht="27.75" customHeight="1" thickBot="1" x14ac:dyDescent="0.3">
      <c r="A15" s="249" t="s">
        <v>90</v>
      </c>
      <c r="B15" s="250"/>
      <c r="C15" s="251"/>
      <c r="D15" s="251"/>
      <c r="E15" s="251"/>
      <c r="F15" s="252" t="s">
        <v>68</v>
      </c>
      <c r="G15" s="253"/>
      <c r="H15" s="254"/>
      <c r="I15" s="160"/>
      <c r="J15" s="153">
        <v>40.444000000000003</v>
      </c>
      <c r="K15" s="78"/>
      <c r="L15" s="75"/>
      <c r="M15" s="14"/>
    </row>
    <row r="16" spans="1:13" ht="13.9" customHeight="1" x14ac:dyDescent="0.25">
      <c r="A16" s="247"/>
      <c r="B16" s="248" t="s">
        <v>64</v>
      </c>
      <c r="C16" s="248"/>
      <c r="D16" s="248"/>
      <c r="E16" s="248"/>
      <c r="F16" s="248" t="s">
        <v>17</v>
      </c>
      <c r="G16" s="248"/>
      <c r="H16" s="248"/>
      <c r="I16" s="159"/>
      <c r="J16" s="43">
        <f>J20+J19+J21</f>
        <v>35.05474880185524</v>
      </c>
      <c r="K16" s="77"/>
      <c r="L16" s="75"/>
      <c r="M16" s="14" t="s">
        <v>52</v>
      </c>
    </row>
    <row r="17" spans="1:13" ht="13.9" customHeight="1" x14ac:dyDescent="0.25">
      <c r="A17" s="229"/>
      <c r="B17" s="232"/>
      <c r="C17" s="232"/>
      <c r="D17" s="232"/>
      <c r="E17" s="232"/>
      <c r="F17" s="232" t="s">
        <v>19</v>
      </c>
      <c r="G17" s="232"/>
      <c r="H17" s="232"/>
      <c r="I17" s="156"/>
      <c r="J17" s="31">
        <f>J15-J20-J19-J21</f>
        <v>5.3892511981447591</v>
      </c>
      <c r="K17" s="77"/>
      <c r="L17" s="75"/>
      <c r="M17" s="14" t="s">
        <v>32</v>
      </c>
    </row>
    <row r="18" spans="1:13" ht="13.9" customHeight="1" x14ac:dyDescent="0.25">
      <c r="A18" s="229"/>
      <c r="B18" s="233" t="s">
        <v>65</v>
      </c>
      <c r="C18" s="233"/>
      <c r="D18" s="233"/>
      <c r="E18" s="55">
        <f>D180</f>
        <v>4176.5999999999995</v>
      </c>
      <c r="F18" s="234"/>
      <c r="G18" s="235"/>
      <c r="H18" s="235"/>
      <c r="I18" s="235"/>
      <c r="J18" s="236"/>
      <c r="K18" s="77"/>
      <c r="L18" s="75"/>
      <c r="M18" s="14"/>
    </row>
    <row r="19" spans="1:13" ht="29.25" customHeight="1" x14ac:dyDescent="0.25">
      <c r="A19" s="229"/>
      <c r="B19" s="233" t="s">
        <v>67</v>
      </c>
      <c r="C19" s="233"/>
      <c r="D19" s="233"/>
      <c r="E19" s="56">
        <f>SUM(D126,D130:D131,D136,D141,D151,D153,D167:D168,D173)</f>
        <v>706.2</v>
      </c>
      <c r="F19" s="237" t="s">
        <v>83</v>
      </c>
      <c r="G19" s="238"/>
      <c r="H19" s="239"/>
      <c r="I19" s="156"/>
      <c r="J19" s="7">
        <f>I180</f>
        <v>18.794034801855236</v>
      </c>
      <c r="K19" s="77"/>
      <c r="L19" s="75"/>
      <c r="M19" s="14"/>
    </row>
    <row r="20" spans="1:13" ht="29.25" customHeight="1" x14ac:dyDescent="0.25">
      <c r="A20" s="229"/>
      <c r="B20" s="240" t="s">
        <v>84</v>
      </c>
      <c r="C20" s="241"/>
      <c r="D20" s="241"/>
      <c r="E20" s="56">
        <f>SUM(D121:D125,D127:D129,D132:D135,D137:D140,D142:D150,D152,D154:D161,D162:D166,D169:D172,D174:D176)</f>
        <v>3212.7999999999997</v>
      </c>
      <c r="F20" s="232" t="s">
        <v>66</v>
      </c>
      <c r="G20" s="232"/>
      <c r="H20" s="232"/>
      <c r="I20" s="156"/>
      <c r="J20" s="7">
        <f>H180</f>
        <v>16.260714000000007</v>
      </c>
      <c r="K20" s="77"/>
      <c r="L20" s="75"/>
      <c r="M20" s="14"/>
    </row>
    <row r="21" spans="1:13" ht="29.25" customHeight="1" thickBot="1" x14ac:dyDescent="0.3">
      <c r="A21" s="230"/>
      <c r="B21" s="242" t="s">
        <v>85</v>
      </c>
      <c r="C21" s="243"/>
      <c r="D21" s="243"/>
      <c r="E21" s="57">
        <v>0</v>
      </c>
      <c r="F21" s="244" t="s">
        <v>86</v>
      </c>
      <c r="G21" s="245"/>
      <c r="H21" s="246"/>
      <c r="I21" s="158"/>
      <c r="J21" s="46">
        <v>0</v>
      </c>
      <c r="K21" s="77"/>
      <c r="L21" s="75"/>
      <c r="M21" s="14"/>
    </row>
    <row r="22" spans="1:13" ht="24.75" customHeight="1" thickBot="1" x14ac:dyDescent="0.3">
      <c r="A22" s="226" t="s">
        <v>30</v>
      </c>
      <c r="B22" s="227"/>
      <c r="C22" s="227"/>
      <c r="D22" s="227"/>
      <c r="E22" s="227"/>
      <c r="F22" s="228" t="s">
        <v>20</v>
      </c>
      <c r="G22" s="228"/>
      <c r="H22" s="228"/>
      <c r="I22" s="154"/>
      <c r="J22" s="51">
        <v>35.4</v>
      </c>
      <c r="K22" s="78"/>
      <c r="L22" s="75"/>
      <c r="M22" s="11"/>
    </row>
    <row r="23" spans="1:13" ht="13.9" customHeight="1" x14ac:dyDescent="0.25">
      <c r="A23" s="247"/>
      <c r="B23" s="248" t="s">
        <v>64</v>
      </c>
      <c r="C23" s="248"/>
      <c r="D23" s="248"/>
      <c r="E23" s="248"/>
      <c r="F23" s="248" t="s">
        <v>21</v>
      </c>
      <c r="G23" s="248"/>
      <c r="H23" s="248"/>
      <c r="I23" s="159"/>
      <c r="J23" s="43">
        <f>J27+J26+J28</f>
        <v>31.630984199999993</v>
      </c>
      <c r="K23" s="77"/>
      <c r="L23" s="75"/>
      <c r="M23" s="3"/>
    </row>
    <row r="24" spans="1:13" ht="13.9" customHeight="1" x14ac:dyDescent="0.25">
      <c r="A24" s="229"/>
      <c r="B24" s="232"/>
      <c r="C24" s="232"/>
      <c r="D24" s="232"/>
      <c r="E24" s="232"/>
      <c r="F24" s="232" t="s">
        <v>22</v>
      </c>
      <c r="G24" s="232"/>
      <c r="H24" s="232"/>
      <c r="I24" s="156"/>
      <c r="J24" s="31">
        <f>J22-J27-J26-J28</f>
        <v>3.7690158000000054</v>
      </c>
      <c r="K24" s="77"/>
      <c r="L24" s="75"/>
      <c r="M24" s="3"/>
    </row>
    <row r="25" spans="1:13" ht="13.9" customHeight="1" x14ac:dyDescent="0.25">
      <c r="A25" s="229"/>
      <c r="B25" s="233" t="s">
        <v>65</v>
      </c>
      <c r="C25" s="233"/>
      <c r="D25" s="233"/>
      <c r="E25" s="55">
        <f>D237</f>
        <v>3971.8000000000015</v>
      </c>
      <c r="F25" s="234"/>
      <c r="G25" s="235"/>
      <c r="H25" s="235"/>
      <c r="I25" s="235"/>
      <c r="J25" s="236"/>
      <c r="K25" s="77"/>
      <c r="L25" s="75"/>
      <c r="M25" s="3"/>
    </row>
    <row r="26" spans="1:13" ht="27.75" customHeight="1" x14ac:dyDescent="0.25">
      <c r="A26" s="229"/>
      <c r="B26" s="233" t="s">
        <v>67</v>
      </c>
      <c r="C26" s="233"/>
      <c r="D26" s="233"/>
      <c r="E26" s="56">
        <f>SUM(D186,D194,D199,D217:D218,D223,D230:D231)</f>
        <v>480.2</v>
      </c>
      <c r="F26" s="237" t="s">
        <v>83</v>
      </c>
      <c r="G26" s="238"/>
      <c r="H26" s="239"/>
      <c r="I26" s="156"/>
      <c r="J26" s="7">
        <f>I237</f>
        <v>12.347999999999999</v>
      </c>
      <c r="K26" s="77"/>
      <c r="L26" s="75"/>
      <c r="M26" s="3"/>
    </row>
    <row r="27" spans="1:13" ht="27.75" customHeight="1" x14ac:dyDescent="0.25">
      <c r="A27" s="229"/>
      <c r="B27" s="240" t="s">
        <v>84</v>
      </c>
      <c r="C27" s="241"/>
      <c r="D27" s="241"/>
      <c r="E27" s="56">
        <f>SUM(D181:D185,D187:D193,D195:D198,D200:D216,D219:D222,D224:D229,D232)</f>
        <v>3192.4</v>
      </c>
      <c r="F27" s="232" t="s">
        <v>66</v>
      </c>
      <c r="G27" s="232"/>
      <c r="H27" s="232"/>
      <c r="I27" s="156"/>
      <c r="J27" s="7">
        <f>H237</f>
        <v>19.282984199999994</v>
      </c>
      <c r="K27" s="77"/>
      <c r="L27" s="75"/>
      <c r="M27" s="3"/>
    </row>
    <row r="28" spans="1:13" ht="27.75" customHeight="1" thickBot="1" x14ac:dyDescent="0.3">
      <c r="A28" s="230"/>
      <c r="B28" s="242" t="s">
        <v>85</v>
      </c>
      <c r="C28" s="243"/>
      <c r="D28" s="243"/>
      <c r="E28" s="57">
        <v>0</v>
      </c>
      <c r="F28" s="244" t="s">
        <v>86</v>
      </c>
      <c r="G28" s="245"/>
      <c r="H28" s="246"/>
      <c r="I28" s="158"/>
      <c r="J28" s="46">
        <v>0</v>
      </c>
      <c r="K28" s="77"/>
      <c r="L28" s="75"/>
      <c r="M28" s="3"/>
    </row>
    <row r="29" spans="1:13" ht="25.5" customHeight="1" thickBot="1" x14ac:dyDescent="0.3">
      <c r="A29" s="226" t="s">
        <v>31</v>
      </c>
      <c r="B29" s="227"/>
      <c r="C29" s="227"/>
      <c r="D29" s="227"/>
      <c r="E29" s="227"/>
      <c r="F29" s="228" t="s">
        <v>23</v>
      </c>
      <c r="G29" s="228"/>
      <c r="H29" s="228"/>
      <c r="I29" s="154"/>
      <c r="J29" s="51">
        <v>56.540999999999997</v>
      </c>
      <c r="K29" s="78"/>
      <c r="L29" s="75"/>
      <c r="M29" s="3"/>
    </row>
    <row r="30" spans="1:13" ht="13.9" customHeight="1" x14ac:dyDescent="0.25">
      <c r="A30" s="229"/>
      <c r="B30" s="231" t="s">
        <v>64</v>
      </c>
      <c r="C30" s="231"/>
      <c r="D30" s="231"/>
      <c r="E30" s="231"/>
      <c r="F30" s="231" t="s">
        <v>24</v>
      </c>
      <c r="G30" s="231"/>
      <c r="H30" s="231"/>
      <c r="I30" s="155"/>
      <c r="J30" s="45">
        <f>J34+J33+J35</f>
        <v>63.33315203289991</v>
      </c>
      <c r="K30" s="77"/>
      <c r="L30" s="75"/>
      <c r="M30" s="3"/>
    </row>
    <row r="31" spans="1:13" ht="13.9" customHeight="1" x14ac:dyDescent="0.25">
      <c r="A31" s="229"/>
      <c r="B31" s="232"/>
      <c r="C31" s="232"/>
      <c r="D31" s="232"/>
      <c r="E31" s="232"/>
      <c r="F31" s="232" t="s">
        <v>25</v>
      </c>
      <c r="G31" s="232"/>
      <c r="H31" s="232"/>
      <c r="I31" s="156"/>
      <c r="J31" s="31">
        <f>J29-J34-J33-J35</f>
        <v>-6.7921520328999136</v>
      </c>
      <c r="K31" s="77"/>
      <c r="L31" s="75"/>
      <c r="M31" s="3"/>
    </row>
    <row r="32" spans="1:13" ht="13.9" customHeight="1" x14ac:dyDescent="0.25">
      <c r="A32" s="229"/>
      <c r="B32" s="233" t="s">
        <v>65</v>
      </c>
      <c r="C32" s="233"/>
      <c r="D32" s="233"/>
      <c r="E32" s="55">
        <f>D307</f>
        <v>5040.4000000000015</v>
      </c>
      <c r="F32" s="234"/>
      <c r="G32" s="235"/>
      <c r="H32" s="235"/>
      <c r="I32" s="235"/>
      <c r="J32" s="236"/>
      <c r="K32" s="77"/>
      <c r="L32" s="75"/>
      <c r="M32" s="3"/>
    </row>
    <row r="33" spans="1:14" ht="26.25" customHeight="1" x14ac:dyDescent="0.25">
      <c r="A33" s="229"/>
      <c r="B33" s="233" t="s">
        <v>67</v>
      </c>
      <c r="C33" s="233"/>
      <c r="D33" s="233"/>
      <c r="E33" s="56">
        <f>SUM(D240,D243,D249,D258:D259,D261:D262,D264,D269,D272,D274,D280:D281,D283,D286,D289,D291,D295:D297,D301)</f>
        <v>1390.1</v>
      </c>
      <c r="F33" s="237" t="s">
        <v>83</v>
      </c>
      <c r="G33" s="238"/>
      <c r="H33" s="239"/>
      <c r="I33" s="156"/>
      <c r="J33" s="7">
        <f>I307</f>
        <v>36.37232503289988</v>
      </c>
      <c r="K33" s="77"/>
      <c r="L33" s="75"/>
      <c r="M33" s="3"/>
    </row>
    <row r="34" spans="1:14" ht="26.25" customHeight="1" x14ac:dyDescent="0.25">
      <c r="A34" s="229"/>
      <c r="B34" s="240" t="s">
        <v>84</v>
      </c>
      <c r="C34" s="241"/>
      <c r="D34" s="241"/>
      <c r="E34" s="56">
        <f>SUM(D238:D239,D241:D242,D244:D248,D250:D257,D260,D263,D265:D268,D270:D271,D273,D275:D279,D282,D284:D285,D287:D288,D290,D292:D294,D298:D300,D302:D306)</f>
        <v>3650.3</v>
      </c>
      <c r="F34" s="232" t="s">
        <v>66</v>
      </c>
      <c r="G34" s="232"/>
      <c r="H34" s="232"/>
      <c r="I34" s="156"/>
      <c r="J34" s="7">
        <f>H307</f>
        <v>26.96082700000003</v>
      </c>
      <c r="K34" s="77"/>
      <c r="L34" s="75"/>
      <c r="M34" s="3"/>
    </row>
    <row r="35" spans="1:14" ht="26.25" customHeight="1" thickBot="1" x14ac:dyDescent="0.3">
      <c r="A35" s="230"/>
      <c r="B35" s="242" t="s">
        <v>85</v>
      </c>
      <c r="C35" s="243"/>
      <c r="D35" s="243"/>
      <c r="E35" s="57">
        <v>0</v>
      </c>
      <c r="F35" s="244" t="s">
        <v>86</v>
      </c>
      <c r="G35" s="245"/>
      <c r="H35" s="246"/>
      <c r="I35" s="158"/>
      <c r="J35" s="46">
        <v>0</v>
      </c>
      <c r="K35" s="77"/>
      <c r="L35" s="75"/>
      <c r="M35" s="3"/>
    </row>
    <row r="36" spans="1:14" ht="13.9" customHeight="1" x14ac:dyDescent="0.25">
      <c r="A36" s="79"/>
      <c r="B36" s="79"/>
      <c r="C36" s="79"/>
      <c r="D36" s="79"/>
      <c r="E36" s="79"/>
      <c r="F36" s="204" t="s">
        <v>26</v>
      </c>
      <c r="G36" s="205"/>
      <c r="H36" s="206"/>
      <c r="I36" s="159"/>
      <c r="J36" s="223">
        <f>J8+J15+J22+J29</f>
        <v>193.22300000000001</v>
      </c>
      <c r="K36" s="80"/>
      <c r="L36" s="75"/>
      <c r="M36" s="3"/>
    </row>
    <row r="37" spans="1:14" ht="13.9" customHeight="1" x14ac:dyDescent="0.25">
      <c r="A37" s="79"/>
      <c r="B37" s="79"/>
      <c r="C37" s="79"/>
      <c r="D37" s="79"/>
      <c r="E37" s="79"/>
      <c r="F37" s="224" t="s">
        <v>27</v>
      </c>
      <c r="G37" s="225"/>
      <c r="H37" s="214"/>
      <c r="I37" s="79"/>
      <c r="J37" s="223"/>
      <c r="K37" s="80"/>
      <c r="L37" s="75"/>
      <c r="M37" s="3"/>
    </row>
    <row r="38" spans="1:14" ht="13.9" customHeight="1" x14ac:dyDescent="0.25">
      <c r="A38" s="79"/>
      <c r="B38" s="79"/>
      <c r="C38" s="79"/>
      <c r="D38" s="79"/>
      <c r="E38" s="79"/>
      <c r="F38" s="213" t="s">
        <v>28</v>
      </c>
      <c r="G38" s="214"/>
      <c r="H38" s="215"/>
      <c r="I38" s="81"/>
      <c r="J38" s="31">
        <f>J9+J16+J23+J30</f>
        <v>185.12865704101853</v>
      </c>
      <c r="K38" s="77"/>
      <c r="L38" s="75"/>
      <c r="M38" s="3"/>
    </row>
    <row r="39" spans="1:14" ht="13.9" customHeight="1" thickBot="1" x14ac:dyDescent="0.3">
      <c r="A39" s="79"/>
      <c r="B39" s="79"/>
      <c r="C39" s="79"/>
      <c r="D39" s="79"/>
      <c r="E39" s="79"/>
      <c r="F39" s="216" t="s">
        <v>9</v>
      </c>
      <c r="G39" s="217"/>
      <c r="H39" s="218"/>
      <c r="I39" s="82"/>
      <c r="J39" s="61">
        <f>J10+J17+J24+J31</f>
        <v>8.0943429589814606</v>
      </c>
      <c r="K39" s="77"/>
      <c r="L39" s="75"/>
      <c r="M39" s="3"/>
    </row>
    <row r="40" spans="1:14" ht="14.45" customHeight="1" x14ac:dyDescent="0.25">
      <c r="M40" s="3"/>
    </row>
    <row r="41" spans="1:14" s="11" customFormat="1" ht="61.5" customHeight="1" x14ac:dyDescent="0.25">
      <c r="A41" s="83" t="s">
        <v>0</v>
      </c>
      <c r="B41" s="83" t="s">
        <v>55</v>
      </c>
      <c r="C41" s="84" t="s">
        <v>1</v>
      </c>
      <c r="D41" s="83" t="s">
        <v>2</v>
      </c>
      <c r="E41" s="85" t="s">
        <v>156</v>
      </c>
      <c r="F41" s="85" t="s">
        <v>162</v>
      </c>
      <c r="G41" s="85" t="s">
        <v>33</v>
      </c>
      <c r="H41" s="85" t="s">
        <v>12</v>
      </c>
      <c r="I41" s="86" t="s">
        <v>87</v>
      </c>
      <c r="J41" s="63" t="s">
        <v>6</v>
      </c>
      <c r="K41" s="87" t="s">
        <v>13</v>
      </c>
      <c r="L41" s="88"/>
      <c r="M41" s="13"/>
      <c r="N41" s="185"/>
    </row>
    <row r="42" spans="1:14" x14ac:dyDescent="0.25">
      <c r="A42" s="1">
        <v>1</v>
      </c>
      <c r="B42" s="47">
        <v>46305</v>
      </c>
      <c r="C42" s="66">
        <v>43441363</v>
      </c>
      <c r="D42" s="156">
        <v>112.5</v>
      </c>
      <c r="E42" s="5">
        <v>89.28</v>
      </c>
      <c r="F42" s="5">
        <v>91.206999999999994</v>
      </c>
      <c r="G42" s="28">
        <f>F42-E42</f>
        <v>1.9269999999999925</v>
      </c>
      <c r="H42" s="16">
        <f>G42*0.8598</f>
        <v>1.6568345999999936</v>
      </c>
      <c r="I42" s="16"/>
      <c r="J42" s="16">
        <f t="shared" ref="J42:J44" si="0">D42/($E$11-$E$12)*$J$10</f>
        <v>0.1391156983130126</v>
      </c>
      <c r="K42" s="16">
        <f>H42+I42+J42</f>
        <v>1.7959502983130062</v>
      </c>
      <c r="M42" s="13" t="s">
        <v>69</v>
      </c>
    </row>
    <row r="43" spans="1:14" x14ac:dyDescent="0.25">
      <c r="A43" s="1">
        <v>2</v>
      </c>
      <c r="B43" s="47">
        <v>45915</v>
      </c>
      <c r="C43" s="66">
        <v>43242252</v>
      </c>
      <c r="D43" s="156">
        <v>58.7</v>
      </c>
      <c r="E43" s="5">
        <v>51.021999999999998</v>
      </c>
      <c r="F43" s="5">
        <v>51.63</v>
      </c>
      <c r="G43" s="5">
        <f>F43-E43</f>
        <v>0.60800000000000409</v>
      </c>
      <c r="H43" s="16">
        <f t="shared" ref="H43:H106" si="1">G43*0.8598</f>
        <v>0.52275840000000351</v>
      </c>
      <c r="I43" s="16"/>
      <c r="J43" s="16">
        <f t="shared" si="0"/>
        <v>7.2587479919767481E-2</v>
      </c>
      <c r="K43" s="16">
        <f>H43+I43+J43</f>
        <v>0.59534587991977095</v>
      </c>
      <c r="M43" s="13" t="s">
        <v>69</v>
      </c>
    </row>
    <row r="44" spans="1:14" x14ac:dyDescent="0.25">
      <c r="A44" s="1">
        <v>3</v>
      </c>
      <c r="B44" s="52">
        <v>45686</v>
      </c>
      <c r="C44" s="10" t="s">
        <v>91</v>
      </c>
      <c r="D44" s="156">
        <v>50.5</v>
      </c>
      <c r="E44" s="39">
        <v>3.8439999999999999</v>
      </c>
      <c r="F44" s="39">
        <v>3.9460000000000002</v>
      </c>
      <c r="G44" s="5"/>
      <c r="H44" s="16">
        <f>F44-E44</f>
        <v>0.10200000000000031</v>
      </c>
      <c r="I44" s="16"/>
      <c r="J44" s="16">
        <f t="shared" si="0"/>
        <v>6.2447491242730108E-2</v>
      </c>
      <c r="K44" s="16">
        <f t="shared" ref="K44:K58" si="2">H44+I44+J44</f>
        <v>0.16444749124273042</v>
      </c>
      <c r="M44" s="13" t="s">
        <v>69</v>
      </c>
    </row>
    <row r="45" spans="1:14" x14ac:dyDescent="0.25">
      <c r="A45" s="1">
        <v>4</v>
      </c>
      <c r="B45" s="34"/>
      <c r="C45" s="66">
        <v>43441362</v>
      </c>
      <c r="D45" s="156">
        <v>51.8</v>
      </c>
      <c r="E45" s="5">
        <v>35.926000000000002</v>
      </c>
      <c r="F45" s="5">
        <v>36.752000000000002</v>
      </c>
      <c r="G45" s="5"/>
      <c r="H45" s="16">
        <f t="shared" si="1"/>
        <v>0</v>
      </c>
      <c r="I45" s="16">
        <f>(((D45*0.015)*12)/7)</f>
        <v>1.3319999999999996</v>
      </c>
      <c r="J45" s="16"/>
      <c r="K45" s="16">
        <f t="shared" si="2"/>
        <v>1.3319999999999996</v>
      </c>
      <c r="M45" s="13" t="s">
        <v>71</v>
      </c>
    </row>
    <row r="46" spans="1:14" x14ac:dyDescent="0.25">
      <c r="A46" s="1">
        <v>5</v>
      </c>
      <c r="B46" s="47">
        <v>45598</v>
      </c>
      <c r="C46" s="66">
        <v>43242251</v>
      </c>
      <c r="D46" s="156">
        <v>52.9</v>
      </c>
      <c r="E46" s="5">
        <v>26.451000000000001</v>
      </c>
      <c r="F46" s="5">
        <v>27.231999999999999</v>
      </c>
      <c r="G46" s="5">
        <f>F46-E46</f>
        <v>0.78099999999999881</v>
      </c>
      <c r="H46" s="16">
        <f t="shared" si="1"/>
        <v>0.67150379999999898</v>
      </c>
      <c r="I46" s="16"/>
      <c r="J46" s="16">
        <f t="shared" ref="J46:J105" si="3">D46/($E$11-$E$12)*$J$10</f>
        <v>6.5415292806741035E-2</v>
      </c>
      <c r="K46" s="16">
        <f t="shared" si="2"/>
        <v>0.73691909280674006</v>
      </c>
      <c r="M46" s="13" t="s">
        <v>69</v>
      </c>
    </row>
    <row r="47" spans="1:14" x14ac:dyDescent="0.25">
      <c r="A47" s="1">
        <v>6</v>
      </c>
      <c r="B47" s="47">
        <v>45453</v>
      </c>
      <c r="C47" s="10" t="s">
        <v>56</v>
      </c>
      <c r="D47" s="156">
        <v>99.6</v>
      </c>
      <c r="E47" s="39">
        <v>10.903700000000001</v>
      </c>
      <c r="F47" s="39">
        <v>11.014200000000001</v>
      </c>
      <c r="G47" s="39"/>
      <c r="H47" s="16">
        <f>F47-E47</f>
        <v>0.11050000000000004</v>
      </c>
      <c r="I47" s="16"/>
      <c r="J47" s="16">
        <f t="shared" si="3"/>
        <v>0.12316376490645384</v>
      </c>
      <c r="K47" s="16">
        <f t="shared" si="2"/>
        <v>0.23366376490645388</v>
      </c>
      <c r="M47" s="13" t="s">
        <v>69</v>
      </c>
    </row>
    <row r="48" spans="1:14" x14ac:dyDescent="0.25">
      <c r="A48" s="1">
        <v>7</v>
      </c>
      <c r="B48" s="47">
        <v>45594</v>
      </c>
      <c r="C48" s="10" t="s">
        <v>70</v>
      </c>
      <c r="D48" s="156">
        <v>112.6</v>
      </c>
      <c r="E48" s="39">
        <v>14.276999999999999</v>
      </c>
      <c r="F48" s="39">
        <v>14.874000000000001</v>
      </c>
      <c r="G48" s="39"/>
      <c r="H48" s="16">
        <f>F48-E48</f>
        <v>0.59700000000000131</v>
      </c>
      <c r="I48" s="16"/>
      <c r="J48" s="16">
        <f t="shared" si="3"/>
        <v>0.13923935671151308</v>
      </c>
      <c r="K48" s="16">
        <f t="shared" si="2"/>
        <v>0.73623935671151441</v>
      </c>
      <c r="M48" s="13" t="s">
        <v>69</v>
      </c>
    </row>
    <row r="49" spans="1:13" x14ac:dyDescent="0.25">
      <c r="A49" s="1">
        <v>8</v>
      </c>
      <c r="B49" s="34"/>
      <c r="C49" s="66">
        <v>43441368</v>
      </c>
      <c r="D49" s="156">
        <v>62.5</v>
      </c>
      <c r="E49" s="5">
        <v>18.164999999999999</v>
      </c>
      <c r="F49" s="5">
        <v>17.907</v>
      </c>
      <c r="G49" s="5"/>
      <c r="H49" s="16">
        <f t="shared" si="1"/>
        <v>0</v>
      </c>
      <c r="I49" s="16">
        <f>(((D49*0.015)*12)/7)</f>
        <v>1.6071428571428572</v>
      </c>
      <c r="J49" s="16"/>
      <c r="K49" s="16">
        <f t="shared" si="2"/>
        <v>1.6071428571428572</v>
      </c>
      <c r="M49" s="13" t="s">
        <v>71</v>
      </c>
    </row>
    <row r="50" spans="1:13" x14ac:dyDescent="0.25">
      <c r="A50" s="1">
        <v>9</v>
      </c>
      <c r="B50" s="47">
        <v>46160</v>
      </c>
      <c r="C50" s="66">
        <v>43441366</v>
      </c>
      <c r="D50" s="156">
        <v>50.5</v>
      </c>
      <c r="E50" s="5">
        <v>44.904000000000003</v>
      </c>
      <c r="F50" s="5">
        <v>45.904000000000003</v>
      </c>
      <c r="G50" s="5">
        <f>F50-E50</f>
        <v>1</v>
      </c>
      <c r="H50" s="16">
        <f t="shared" si="1"/>
        <v>0.85980000000000001</v>
      </c>
      <c r="I50" s="16"/>
      <c r="J50" s="16">
        <f t="shared" si="3"/>
        <v>6.2447491242730108E-2</v>
      </c>
      <c r="K50" s="16">
        <f t="shared" si="2"/>
        <v>0.92224749124273009</v>
      </c>
      <c r="M50" s="13" t="s">
        <v>69</v>
      </c>
    </row>
    <row r="51" spans="1:13" x14ac:dyDescent="0.25">
      <c r="A51" s="1">
        <v>10</v>
      </c>
      <c r="B51" s="47">
        <v>45746</v>
      </c>
      <c r="C51" s="66">
        <v>43441367</v>
      </c>
      <c r="D51" s="156">
        <v>52.3</v>
      </c>
      <c r="E51" s="5">
        <v>14.957000000000001</v>
      </c>
      <c r="F51" s="5">
        <v>14.957000000000001</v>
      </c>
      <c r="G51" s="5">
        <f>F51-E51</f>
        <v>0</v>
      </c>
      <c r="H51" s="16">
        <f t="shared" si="1"/>
        <v>0</v>
      </c>
      <c r="I51" s="16"/>
      <c r="J51" s="16">
        <f t="shared" si="3"/>
        <v>6.4673342415738314E-2</v>
      </c>
      <c r="K51" s="16">
        <f t="shared" si="2"/>
        <v>6.4673342415738314E-2</v>
      </c>
      <c r="M51" s="13" t="s">
        <v>69</v>
      </c>
    </row>
    <row r="52" spans="1:13" x14ac:dyDescent="0.25">
      <c r="A52" s="1">
        <v>11</v>
      </c>
      <c r="B52" s="47">
        <v>46262</v>
      </c>
      <c r="C52" s="66" t="s">
        <v>139</v>
      </c>
      <c r="D52" s="156">
        <v>53</v>
      </c>
      <c r="E52" s="5">
        <v>0.10199999999999999</v>
      </c>
      <c r="F52" s="5">
        <v>0.33200000000000002</v>
      </c>
      <c r="G52" s="5"/>
      <c r="H52" s="16">
        <f>F52-E52</f>
        <v>0.23000000000000004</v>
      </c>
      <c r="I52" s="16"/>
      <c r="J52" s="16">
        <f t="shared" si="3"/>
        <v>6.5538951205241502E-2</v>
      </c>
      <c r="K52" s="16">
        <f t="shared" si="2"/>
        <v>0.29553895120524154</v>
      </c>
      <c r="M52" s="13" t="s">
        <v>69</v>
      </c>
    </row>
    <row r="53" spans="1:13" x14ac:dyDescent="0.25">
      <c r="A53" s="1">
        <v>12</v>
      </c>
      <c r="B53" s="47">
        <v>45600</v>
      </c>
      <c r="C53" s="66">
        <v>43441365</v>
      </c>
      <c r="D53" s="156">
        <v>100.2</v>
      </c>
      <c r="E53" s="5">
        <v>57.56</v>
      </c>
      <c r="F53" s="5">
        <v>58.631</v>
      </c>
      <c r="G53" s="5">
        <f>F53-E53</f>
        <v>1.070999999999998</v>
      </c>
      <c r="H53" s="16">
        <f>G53*0.8598</f>
        <v>0.92084579999999827</v>
      </c>
      <c r="I53" s="16"/>
      <c r="J53" s="16">
        <f t="shared" si="3"/>
        <v>0.12390571529745656</v>
      </c>
      <c r="K53" s="16">
        <f t="shared" si="2"/>
        <v>1.0447515152974549</v>
      </c>
      <c r="M53" s="13" t="s">
        <v>69</v>
      </c>
    </row>
    <row r="54" spans="1:13" x14ac:dyDescent="0.25">
      <c r="A54" s="1">
        <v>13</v>
      </c>
      <c r="B54" s="33"/>
      <c r="C54" s="67">
        <v>43441377</v>
      </c>
      <c r="D54" s="156">
        <v>112.4</v>
      </c>
      <c r="E54" s="5">
        <v>72.105000000000004</v>
      </c>
      <c r="F54" s="5">
        <v>73.254999999999995</v>
      </c>
      <c r="G54" s="5"/>
      <c r="H54" s="16">
        <f t="shared" si="1"/>
        <v>0</v>
      </c>
      <c r="I54" s="16">
        <f>(((D54*0.015)*12)/7)</f>
        <v>2.8902857142857141</v>
      </c>
      <c r="J54" s="16"/>
      <c r="K54" s="16">
        <f t="shared" si="2"/>
        <v>2.8902857142857141</v>
      </c>
      <c r="M54" s="13" t="s">
        <v>71</v>
      </c>
    </row>
    <row r="55" spans="1:13" x14ac:dyDescent="0.25">
      <c r="A55" s="1">
        <v>14</v>
      </c>
      <c r="B55" s="47">
        <v>46854</v>
      </c>
      <c r="C55" s="10" t="s">
        <v>140</v>
      </c>
      <c r="D55" s="156">
        <v>63.8</v>
      </c>
      <c r="E55" s="39">
        <v>1.2290000000000001</v>
      </c>
      <c r="F55" s="39">
        <v>2.391</v>
      </c>
      <c r="G55" s="5"/>
      <c r="H55" s="16">
        <f>F55-E55</f>
        <v>1.1619999999999999</v>
      </c>
      <c r="I55" s="16"/>
      <c r="J55" s="16">
        <f t="shared" si="3"/>
        <v>7.889405824329071E-2</v>
      </c>
      <c r="K55" s="16">
        <f t="shared" si="2"/>
        <v>1.2408940582432906</v>
      </c>
      <c r="M55" s="13" t="s">
        <v>69</v>
      </c>
    </row>
    <row r="56" spans="1:13" x14ac:dyDescent="0.25">
      <c r="A56" s="1">
        <v>15</v>
      </c>
      <c r="B56" s="33"/>
      <c r="C56" s="66">
        <v>43441369</v>
      </c>
      <c r="D56" s="156">
        <v>50.9</v>
      </c>
      <c r="E56" s="5">
        <v>39.6</v>
      </c>
      <c r="F56" s="5">
        <v>40.601999999999997</v>
      </c>
      <c r="G56" s="5"/>
      <c r="H56" s="16">
        <f t="shared" si="1"/>
        <v>0</v>
      </c>
      <c r="I56" s="16">
        <f>(((D56*0.015)*12)/7)</f>
        <v>1.3088571428571427</v>
      </c>
      <c r="J56" s="16"/>
      <c r="K56" s="16">
        <f t="shared" si="2"/>
        <v>1.3088571428571427</v>
      </c>
      <c r="M56" s="13" t="s">
        <v>71</v>
      </c>
    </row>
    <row r="57" spans="1:13" x14ac:dyDescent="0.25">
      <c r="A57" s="1">
        <v>16</v>
      </c>
      <c r="B57" s="47">
        <v>45900</v>
      </c>
      <c r="C57" s="66">
        <v>43441375</v>
      </c>
      <c r="D57" s="156">
        <v>52.4</v>
      </c>
      <c r="E57" s="5">
        <v>28.28</v>
      </c>
      <c r="F57" s="5">
        <v>28.28</v>
      </c>
      <c r="G57" s="5">
        <f>F57-E57</f>
        <v>0</v>
      </c>
      <c r="H57" s="16">
        <f t="shared" si="1"/>
        <v>0</v>
      </c>
      <c r="I57" s="16">
        <f>$H$120/$D$120*D57</f>
        <v>0.21151059573704914</v>
      </c>
      <c r="J57" s="16">
        <f t="shared" si="3"/>
        <v>6.4797000814238767E-2</v>
      </c>
      <c r="K57" s="16">
        <f t="shared" si="2"/>
        <v>0.27630759655128789</v>
      </c>
      <c r="M57" s="13" t="s">
        <v>69</v>
      </c>
    </row>
    <row r="58" spans="1:13" x14ac:dyDescent="0.25">
      <c r="A58" s="1">
        <v>17</v>
      </c>
      <c r="B58" s="47">
        <v>45595</v>
      </c>
      <c r="C58" s="66">
        <v>43441376</v>
      </c>
      <c r="D58" s="156">
        <v>53.3</v>
      </c>
      <c r="E58" s="5">
        <v>52.295999999999999</v>
      </c>
      <c r="F58" s="5">
        <v>53.298000000000002</v>
      </c>
      <c r="G58" s="5">
        <f>F58-E58</f>
        <v>1.0020000000000024</v>
      </c>
      <c r="H58" s="16">
        <f>G58*0.8598</f>
        <v>0.86151960000000216</v>
      </c>
      <c r="I58" s="16"/>
      <c r="J58" s="16">
        <f t="shared" si="3"/>
        <v>6.5909926400742863E-2</v>
      </c>
      <c r="K58" s="16">
        <f t="shared" si="2"/>
        <v>0.92742952640074505</v>
      </c>
      <c r="M58" s="13" t="s">
        <v>69</v>
      </c>
    </row>
    <row r="59" spans="1:13" ht="15.75" customHeight="1" x14ac:dyDescent="0.25">
      <c r="A59" s="1">
        <v>18</v>
      </c>
      <c r="B59" s="47">
        <v>45700</v>
      </c>
      <c r="C59" s="66">
        <v>43441361</v>
      </c>
      <c r="D59" s="156">
        <v>100.6</v>
      </c>
      <c r="E59" s="5">
        <v>5.0519999999999996</v>
      </c>
      <c r="F59" s="5">
        <v>5.0549999999999997</v>
      </c>
      <c r="G59" s="5">
        <f>F59-E59</f>
        <v>3.0000000000001137E-3</v>
      </c>
      <c r="H59" s="16">
        <f t="shared" si="1"/>
        <v>2.5794000000000979E-3</v>
      </c>
      <c r="I59" s="16"/>
      <c r="J59" s="16">
        <f t="shared" si="3"/>
        <v>0.12440034889145837</v>
      </c>
      <c r="K59" s="16">
        <f>H59+I59+J59</f>
        <v>0.12697974889145847</v>
      </c>
      <c r="M59" s="13" t="s">
        <v>69</v>
      </c>
    </row>
    <row r="60" spans="1:13" x14ac:dyDescent="0.25">
      <c r="A60" s="1">
        <v>19</v>
      </c>
      <c r="B60" s="47">
        <v>45767</v>
      </c>
      <c r="C60" s="66">
        <v>43441266</v>
      </c>
      <c r="D60" s="156">
        <v>112.4</v>
      </c>
      <c r="E60" s="5">
        <v>47.314</v>
      </c>
      <c r="F60" s="5">
        <v>47.838999999999999</v>
      </c>
      <c r="G60" s="5">
        <f>F60-E60</f>
        <v>0.52499999999999858</v>
      </c>
      <c r="H60" s="16">
        <f t="shared" si="1"/>
        <v>0.45139499999999877</v>
      </c>
      <c r="I60" s="16"/>
      <c r="J60" s="16">
        <f t="shared" si="3"/>
        <v>0.13899203991451217</v>
      </c>
      <c r="K60" s="16">
        <f t="shared" ref="K60:K114" si="4">H60+I60+J60</f>
        <v>0.59038703991451091</v>
      </c>
      <c r="M60" s="13" t="s">
        <v>69</v>
      </c>
    </row>
    <row r="61" spans="1:13" x14ac:dyDescent="0.25">
      <c r="A61" s="1">
        <v>20</v>
      </c>
      <c r="B61" s="47">
        <v>45955</v>
      </c>
      <c r="C61" s="66" t="s">
        <v>107</v>
      </c>
      <c r="D61" s="156">
        <v>63</v>
      </c>
      <c r="E61" s="39">
        <v>2.218</v>
      </c>
      <c r="F61" s="39">
        <v>2.4860000000000002</v>
      </c>
      <c r="G61" s="5"/>
      <c r="H61" s="16">
        <f>F61-E61</f>
        <v>0.26800000000000024</v>
      </c>
      <c r="I61" s="16"/>
      <c r="J61" s="16">
        <f t="shared" si="3"/>
        <v>7.7904791055287054E-2</v>
      </c>
      <c r="K61" s="16">
        <f t="shared" si="4"/>
        <v>0.34590479105528726</v>
      </c>
      <c r="M61" s="13" t="s">
        <v>69</v>
      </c>
    </row>
    <row r="62" spans="1:13" x14ac:dyDescent="0.25">
      <c r="A62" s="1">
        <v>21</v>
      </c>
      <c r="B62" s="33"/>
      <c r="C62" s="66">
        <v>43441274</v>
      </c>
      <c r="D62" s="156">
        <v>50.5</v>
      </c>
      <c r="E62" s="5">
        <v>36.743000000000002</v>
      </c>
      <c r="F62" s="5">
        <v>38.033999999999999</v>
      </c>
      <c r="G62" s="5"/>
      <c r="H62" s="16">
        <f t="shared" si="1"/>
        <v>0</v>
      </c>
      <c r="I62" s="16">
        <f>(((D62*0.015)*12)/7)</f>
        <v>1.2985714285714285</v>
      </c>
      <c r="J62" s="16"/>
      <c r="K62" s="16">
        <f t="shared" si="4"/>
        <v>1.2985714285714285</v>
      </c>
      <c r="M62" s="13" t="s">
        <v>71</v>
      </c>
    </row>
    <row r="63" spans="1:13" x14ac:dyDescent="0.25">
      <c r="A63" s="1">
        <v>22</v>
      </c>
      <c r="B63" s="48">
        <v>45734</v>
      </c>
      <c r="C63" s="66">
        <v>43441273</v>
      </c>
      <c r="D63" s="156">
        <v>52.4</v>
      </c>
      <c r="E63" s="5">
        <v>34.070999999999998</v>
      </c>
      <c r="F63" s="5">
        <v>35.200000000000003</v>
      </c>
      <c r="G63" s="5">
        <f t="shared" ref="G63:G68" si="5">F63-E63</f>
        <v>1.1290000000000049</v>
      </c>
      <c r="H63" s="16">
        <f t="shared" si="1"/>
        <v>0.97071420000000419</v>
      </c>
      <c r="I63" s="16"/>
      <c r="J63" s="16">
        <f t="shared" si="3"/>
        <v>6.4797000814238767E-2</v>
      </c>
      <c r="K63" s="16">
        <f t="shared" si="4"/>
        <v>1.0355112008142429</v>
      </c>
      <c r="M63" s="13" t="s">
        <v>69</v>
      </c>
    </row>
    <row r="64" spans="1:13" x14ac:dyDescent="0.25">
      <c r="A64" s="1">
        <v>23</v>
      </c>
      <c r="B64" s="47">
        <v>45774</v>
      </c>
      <c r="C64" s="66">
        <v>43441371</v>
      </c>
      <c r="D64" s="156">
        <v>53.1</v>
      </c>
      <c r="E64" s="5">
        <v>12.238</v>
      </c>
      <c r="F64" s="5">
        <v>12.499000000000001</v>
      </c>
      <c r="G64" s="5">
        <f t="shared" si="5"/>
        <v>0.26100000000000101</v>
      </c>
      <c r="H64" s="16">
        <f t="shared" si="1"/>
        <v>0.22440780000000088</v>
      </c>
      <c r="I64" s="16"/>
      <c r="J64" s="16">
        <f t="shared" si="3"/>
        <v>6.5662609603741956E-2</v>
      </c>
      <c r="K64" s="16">
        <f t="shared" si="4"/>
        <v>0.29007040960374286</v>
      </c>
      <c r="M64" s="13" t="s">
        <v>69</v>
      </c>
    </row>
    <row r="65" spans="1:13" x14ac:dyDescent="0.25">
      <c r="A65" s="1">
        <v>24</v>
      </c>
      <c r="B65" s="47">
        <v>46156</v>
      </c>
      <c r="C65" s="66" t="s">
        <v>141</v>
      </c>
      <c r="D65" s="156">
        <v>100.7</v>
      </c>
      <c r="E65" s="39">
        <v>0.57799999999999996</v>
      </c>
      <c r="F65" s="39">
        <v>1.349</v>
      </c>
      <c r="G65" s="5"/>
      <c r="H65" s="16">
        <f>F65-E65</f>
        <v>0.77100000000000002</v>
      </c>
      <c r="I65" s="16"/>
      <c r="J65" s="16">
        <f t="shared" si="3"/>
        <v>0.12452400728995885</v>
      </c>
      <c r="K65" s="16">
        <f t="shared" si="4"/>
        <v>0.89552400728995885</v>
      </c>
      <c r="M65" s="13" t="s">
        <v>69</v>
      </c>
    </row>
    <row r="66" spans="1:13" x14ac:dyDescent="0.25">
      <c r="A66" s="1">
        <v>25</v>
      </c>
      <c r="B66" s="33" t="s">
        <v>100</v>
      </c>
      <c r="C66" s="66">
        <v>43441275</v>
      </c>
      <c r="D66" s="156">
        <v>112.5</v>
      </c>
      <c r="E66" s="5">
        <v>63.601999999999997</v>
      </c>
      <c r="F66" s="5">
        <v>64.903000000000006</v>
      </c>
      <c r="G66" s="5">
        <f t="shared" si="5"/>
        <v>1.301000000000009</v>
      </c>
      <c r="H66" s="16">
        <f t="shared" si="1"/>
        <v>1.1185998000000077</v>
      </c>
      <c r="I66" s="16"/>
      <c r="J66" s="16">
        <f t="shared" si="3"/>
        <v>0.1391156983130126</v>
      </c>
      <c r="K66" s="16">
        <f t="shared" si="4"/>
        <v>1.2577154983130203</v>
      </c>
      <c r="M66" s="13" t="s">
        <v>69</v>
      </c>
    </row>
    <row r="67" spans="1:13" x14ac:dyDescent="0.25">
      <c r="A67" s="1">
        <v>26</v>
      </c>
      <c r="B67" s="47">
        <v>45803</v>
      </c>
      <c r="C67" s="66">
        <v>43441269</v>
      </c>
      <c r="D67" s="156">
        <v>62.5</v>
      </c>
      <c r="E67" s="5">
        <v>15.614000000000001</v>
      </c>
      <c r="F67" s="5">
        <v>15.614000000000001</v>
      </c>
      <c r="G67" s="5">
        <f t="shared" si="5"/>
        <v>0</v>
      </c>
      <c r="H67" s="16">
        <f t="shared" si="1"/>
        <v>0</v>
      </c>
      <c r="I67" s="16">
        <f>$H$120/$D$120*D67</f>
        <v>0.25227885941919032</v>
      </c>
      <c r="J67" s="16">
        <f t="shared" si="3"/>
        <v>7.7286499062784786E-2</v>
      </c>
      <c r="K67" s="16">
        <f t="shared" si="4"/>
        <v>0.3295653584819751</v>
      </c>
      <c r="M67" s="13" t="s">
        <v>69</v>
      </c>
    </row>
    <row r="68" spans="1:13" x14ac:dyDescent="0.25">
      <c r="A68" s="1">
        <v>27</v>
      </c>
      <c r="B68" s="47">
        <v>45725</v>
      </c>
      <c r="C68" s="66">
        <v>43441270</v>
      </c>
      <c r="D68" s="156">
        <v>51.2</v>
      </c>
      <c r="E68" s="5">
        <v>1.2669999999999999</v>
      </c>
      <c r="F68" s="5">
        <v>1.2849999999999999</v>
      </c>
      <c r="G68" s="5">
        <f t="shared" si="5"/>
        <v>1.8000000000000016E-2</v>
      </c>
      <c r="H68" s="16">
        <f>G68*0.8598</f>
        <v>1.5476400000000013E-2</v>
      </c>
      <c r="I68" s="16"/>
      <c r="J68" s="16">
        <f t="shared" si="3"/>
        <v>6.3313100032233297E-2</v>
      </c>
      <c r="K68" s="16">
        <f t="shared" si="4"/>
        <v>7.8789500032233312E-2</v>
      </c>
      <c r="M68" s="13" t="s">
        <v>69</v>
      </c>
    </row>
    <row r="69" spans="1:13" x14ac:dyDescent="0.25">
      <c r="A69" s="1">
        <v>28</v>
      </c>
      <c r="B69" s="33"/>
      <c r="C69" s="66">
        <v>43441264</v>
      </c>
      <c r="D69" s="156">
        <v>52.5</v>
      </c>
      <c r="E69" s="5">
        <v>24.629000000000001</v>
      </c>
      <c r="F69" s="5">
        <v>25.231999999999999</v>
      </c>
      <c r="G69" s="5"/>
      <c r="H69" s="16">
        <f t="shared" si="1"/>
        <v>0</v>
      </c>
      <c r="I69" s="16">
        <f>(((D69*0.015)*12)/7)</f>
        <v>1.3499999999999999</v>
      </c>
      <c r="J69" s="16"/>
      <c r="K69" s="16">
        <f t="shared" si="4"/>
        <v>1.3499999999999999</v>
      </c>
      <c r="M69" s="13" t="s">
        <v>71</v>
      </c>
    </row>
    <row r="70" spans="1:13" x14ac:dyDescent="0.25">
      <c r="A70" s="1">
        <v>29</v>
      </c>
      <c r="B70" s="47">
        <v>45718</v>
      </c>
      <c r="C70" s="66">
        <v>43441272</v>
      </c>
      <c r="D70" s="156">
        <v>52.8</v>
      </c>
      <c r="E70" s="5">
        <v>23.341999999999999</v>
      </c>
      <c r="F70" s="5">
        <v>23.343</v>
      </c>
      <c r="G70" s="5">
        <f>F70-E70</f>
        <v>1.0000000000012221E-3</v>
      </c>
      <c r="H70" s="16">
        <f t="shared" si="1"/>
        <v>8.5980000000105078E-4</v>
      </c>
      <c r="I70" s="16"/>
      <c r="J70" s="16">
        <f t="shared" si="3"/>
        <v>6.5291634408240581E-2</v>
      </c>
      <c r="K70" s="16">
        <f t="shared" si="4"/>
        <v>6.615143440824163E-2</v>
      </c>
      <c r="M70" s="13" t="s">
        <v>69</v>
      </c>
    </row>
    <row r="71" spans="1:13" x14ac:dyDescent="0.25">
      <c r="A71" s="1">
        <v>30</v>
      </c>
      <c r="B71" s="48">
        <v>45734</v>
      </c>
      <c r="C71" s="66">
        <v>43441265</v>
      </c>
      <c r="D71" s="156">
        <v>101.4</v>
      </c>
      <c r="E71" s="5">
        <v>36.863</v>
      </c>
      <c r="F71" s="5">
        <v>37.110999999999997</v>
      </c>
      <c r="G71" s="5">
        <f>F71-E71</f>
        <v>0.24799999999999756</v>
      </c>
      <c r="H71" s="16">
        <f t="shared" si="1"/>
        <v>0.2132303999999979</v>
      </c>
      <c r="I71" s="16"/>
      <c r="J71" s="16">
        <f t="shared" si="3"/>
        <v>0.12538961607946206</v>
      </c>
      <c r="K71" s="16">
        <f t="shared" si="4"/>
        <v>0.33862001607945996</v>
      </c>
      <c r="M71" s="13" t="s">
        <v>69</v>
      </c>
    </row>
    <row r="72" spans="1:13" x14ac:dyDescent="0.25">
      <c r="A72" s="1">
        <v>31</v>
      </c>
      <c r="B72" s="33"/>
      <c r="C72" s="66">
        <v>43441277</v>
      </c>
      <c r="D72" s="156">
        <v>112.5</v>
      </c>
      <c r="E72" s="5">
        <v>84.135999999999996</v>
      </c>
      <c r="F72" s="5">
        <v>85.581000000000003</v>
      </c>
      <c r="G72" s="5"/>
      <c r="H72" s="16">
        <f t="shared" si="1"/>
        <v>0</v>
      </c>
      <c r="I72" s="16">
        <f>(((D72*0.015)*12)/7)</f>
        <v>2.8928571428571428</v>
      </c>
      <c r="J72" s="16"/>
      <c r="K72" s="16">
        <f t="shared" si="4"/>
        <v>2.8928571428571428</v>
      </c>
      <c r="M72" s="13" t="s">
        <v>71</v>
      </c>
    </row>
    <row r="73" spans="1:13" x14ac:dyDescent="0.25">
      <c r="A73" s="1">
        <v>32</v>
      </c>
      <c r="B73" s="47">
        <v>45923</v>
      </c>
      <c r="C73" s="66">
        <v>43441276</v>
      </c>
      <c r="D73" s="156">
        <v>63.1</v>
      </c>
      <c r="E73" s="5">
        <v>51.744999999999997</v>
      </c>
      <c r="F73" s="5">
        <v>52.252000000000002</v>
      </c>
      <c r="G73" s="5">
        <f>F73-E73</f>
        <v>0.507000000000005</v>
      </c>
      <c r="H73" s="16">
        <f t="shared" si="1"/>
        <v>0.43591860000000432</v>
      </c>
      <c r="I73" s="16"/>
      <c r="J73" s="16">
        <f t="shared" si="3"/>
        <v>7.8028449453787521E-2</v>
      </c>
      <c r="K73" s="16">
        <f t="shared" si="4"/>
        <v>0.51394704945379188</v>
      </c>
      <c r="M73" s="13" t="s">
        <v>69</v>
      </c>
    </row>
    <row r="74" spans="1:13" x14ac:dyDescent="0.25">
      <c r="A74" s="1">
        <v>33</v>
      </c>
      <c r="B74" s="47">
        <v>45865</v>
      </c>
      <c r="C74" s="66">
        <v>43441279</v>
      </c>
      <c r="D74" s="156">
        <v>50.9</v>
      </c>
      <c r="E74" s="5">
        <v>49.293999999999997</v>
      </c>
      <c r="F74" s="5">
        <v>50.095999999999997</v>
      </c>
      <c r="G74" s="5">
        <f>F74-E74</f>
        <v>0.8019999999999996</v>
      </c>
      <c r="H74" s="16">
        <f t="shared" si="1"/>
        <v>0.68955959999999972</v>
      </c>
      <c r="I74" s="16"/>
      <c r="J74" s="16">
        <f t="shared" si="3"/>
        <v>6.2942124836731936E-2</v>
      </c>
      <c r="K74" s="16">
        <f t="shared" si="4"/>
        <v>0.75250172483673161</v>
      </c>
      <c r="M74" s="13" t="s">
        <v>69</v>
      </c>
    </row>
    <row r="75" spans="1:13" x14ac:dyDescent="0.25">
      <c r="A75" s="1">
        <v>34</v>
      </c>
      <c r="B75" s="47">
        <v>46279</v>
      </c>
      <c r="C75" s="66">
        <v>43441281</v>
      </c>
      <c r="D75" s="156">
        <v>52.2</v>
      </c>
      <c r="E75" s="5">
        <v>39.488999999999997</v>
      </c>
      <c r="F75" s="5">
        <v>39.488999999999997</v>
      </c>
      <c r="G75" s="5">
        <f>F75-E75</f>
        <v>0</v>
      </c>
      <c r="H75" s="16">
        <f t="shared" si="1"/>
        <v>0</v>
      </c>
      <c r="I75" s="16"/>
      <c r="J75" s="16">
        <f t="shared" si="3"/>
        <v>6.454968401723786E-2</v>
      </c>
      <c r="K75" s="16">
        <f t="shared" si="4"/>
        <v>6.454968401723786E-2</v>
      </c>
      <c r="M75" s="13" t="s">
        <v>69</v>
      </c>
    </row>
    <row r="76" spans="1:13" x14ac:dyDescent="0.25">
      <c r="A76" s="1">
        <v>35</v>
      </c>
      <c r="B76" s="47">
        <v>46249</v>
      </c>
      <c r="C76" s="66">
        <v>43441282</v>
      </c>
      <c r="D76" s="156">
        <v>53</v>
      </c>
      <c r="E76" s="5">
        <v>42.304000000000002</v>
      </c>
      <c r="F76" s="5">
        <v>43.771999999999998</v>
      </c>
      <c r="G76" s="5">
        <f>F76-E76</f>
        <v>1.4679999999999964</v>
      </c>
      <c r="H76" s="16">
        <f t="shared" si="1"/>
        <v>1.2621863999999969</v>
      </c>
      <c r="I76" s="16"/>
      <c r="J76" s="16">
        <f t="shared" si="3"/>
        <v>6.5538951205241502E-2</v>
      </c>
      <c r="K76" s="16">
        <f t="shared" si="4"/>
        <v>1.3277253512052385</v>
      </c>
      <c r="M76" s="13" t="s">
        <v>69</v>
      </c>
    </row>
    <row r="77" spans="1:13" x14ac:dyDescent="0.25">
      <c r="A77" s="1">
        <v>36</v>
      </c>
      <c r="B77" s="33"/>
      <c r="C77" s="66">
        <v>43441280</v>
      </c>
      <c r="D77" s="156">
        <v>103.1</v>
      </c>
      <c r="E77" s="5">
        <v>70.42</v>
      </c>
      <c r="F77" s="5">
        <v>73.924000000000007</v>
      </c>
      <c r="G77" s="5"/>
      <c r="H77" s="16">
        <f t="shared" si="1"/>
        <v>0</v>
      </c>
      <c r="I77" s="16">
        <f>(((D77*0.015)*12)/7)</f>
        <v>2.6511428571428568</v>
      </c>
      <c r="J77" s="16"/>
      <c r="K77" s="16">
        <f t="shared" si="4"/>
        <v>2.6511428571428568</v>
      </c>
      <c r="M77" s="13" t="s">
        <v>71</v>
      </c>
    </row>
    <row r="78" spans="1:13" x14ac:dyDescent="0.25">
      <c r="A78" s="1">
        <v>37</v>
      </c>
      <c r="B78" s="47">
        <v>46651</v>
      </c>
      <c r="C78" s="10" t="s">
        <v>101</v>
      </c>
      <c r="D78" s="156">
        <v>112.4</v>
      </c>
      <c r="E78" s="39">
        <v>10.518000000000001</v>
      </c>
      <c r="F78" s="39">
        <v>10.518000000000001</v>
      </c>
      <c r="G78" s="5"/>
      <c r="H78" s="16">
        <f>F78-E78</f>
        <v>0</v>
      </c>
      <c r="I78" s="16"/>
      <c r="J78" s="16">
        <f t="shared" si="3"/>
        <v>0.13899203991451217</v>
      </c>
      <c r="K78" s="16">
        <f t="shared" si="4"/>
        <v>0.13899203991451217</v>
      </c>
      <c r="M78" s="13" t="s">
        <v>69</v>
      </c>
    </row>
    <row r="79" spans="1:13" x14ac:dyDescent="0.25">
      <c r="A79" s="1">
        <v>38</v>
      </c>
      <c r="B79" s="47">
        <v>45946</v>
      </c>
      <c r="C79" s="66">
        <v>43441344</v>
      </c>
      <c r="D79" s="156">
        <v>62.8</v>
      </c>
      <c r="E79" s="5">
        <v>34.485999999999997</v>
      </c>
      <c r="F79" s="5">
        <v>35.683999999999997</v>
      </c>
      <c r="G79" s="5">
        <f>F79-E79</f>
        <v>1.1980000000000004</v>
      </c>
      <c r="H79" s="16">
        <f t="shared" si="1"/>
        <v>1.0300404000000003</v>
      </c>
      <c r="I79" s="16"/>
      <c r="J79" s="16">
        <f t="shared" si="3"/>
        <v>7.7657474258286147E-2</v>
      </c>
      <c r="K79" s="16">
        <f t="shared" si="4"/>
        <v>1.1076978742582864</v>
      </c>
      <c r="M79" s="13" t="s">
        <v>69</v>
      </c>
    </row>
    <row r="80" spans="1:13" x14ac:dyDescent="0.25">
      <c r="A80" s="1">
        <v>39</v>
      </c>
      <c r="B80" s="33"/>
      <c r="C80" s="66">
        <v>43441341</v>
      </c>
      <c r="D80" s="156">
        <v>50.5</v>
      </c>
      <c r="E80" s="5">
        <v>11.178000000000001</v>
      </c>
      <c r="F80" s="5">
        <v>11.265000000000001</v>
      </c>
      <c r="G80" s="5"/>
      <c r="H80" s="16">
        <f t="shared" si="1"/>
        <v>0</v>
      </c>
      <c r="I80" s="16">
        <f>(((D80*0.015)*12)/7)</f>
        <v>1.2985714285714285</v>
      </c>
      <c r="J80" s="16"/>
      <c r="K80" s="16">
        <f t="shared" si="4"/>
        <v>1.2985714285714285</v>
      </c>
      <c r="M80" s="13" t="s">
        <v>71</v>
      </c>
    </row>
    <row r="81" spans="1:13" x14ac:dyDescent="0.25">
      <c r="A81" s="1">
        <v>40</v>
      </c>
      <c r="B81" s="47">
        <v>45594</v>
      </c>
      <c r="C81" s="10" t="s">
        <v>72</v>
      </c>
      <c r="D81" s="156">
        <v>52.3</v>
      </c>
      <c r="E81" s="39">
        <v>1.8176000000000001</v>
      </c>
      <c r="F81" s="39">
        <v>1.8260000000000001</v>
      </c>
      <c r="G81" s="39"/>
      <c r="H81" s="16">
        <f>F81-E81</f>
        <v>8.3999999999999631E-3</v>
      </c>
      <c r="I81" s="16"/>
      <c r="J81" s="16">
        <f t="shared" si="3"/>
        <v>6.4673342415738314E-2</v>
      </c>
      <c r="K81" s="16">
        <f t="shared" si="4"/>
        <v>7.3073342415738277E-2</v>
      </c>
      <c r="M81" s="13" t="s">
        <v>69</v>
      </c>
    </row>
    <row r="82" spans="1:13" x14ac:dyDescent="0.25">
      <c r="A82" s="1">
        <v>41</v>
      </c>
      <c r="B82" s="47">
        <v>45573</v>
      </c>
      <c r="C82" s="66">
        <v>43441283</v>
      </c>
      <c r="D82" s="156">
        <v>53</v>
      </c>
      <c r="E82" s="5">
        <v>15.4</v>
      </c>
      <c r="F82" s="5">
        <v>15.95</v>
      </c>
      <c r="G82" s="5">
        <f>F82-E82</f>
        <v>0.54999999999999893</v>
      </c>
      <c r="H82" s="16">
        <f t="shared" si="1"/>
        <v>0.47288999999999909</v>
      </c>
      <c r="I82" s="16"/>
      <c r="J82" s="16">
        <f t="shared" si="3"/>
        <v>6.5538951205241502E-2</v>
      </c>
      <c r="K82" s="16">
        <f t="shared" si="4"/>
        <v>0.53842895120524059</v>
      </c>
      <c r="M82" s="13" t="s">
        <v>69</v>
      </c>
    </row>
    <row r="83" spans="1:13" x14ac:dyDescent="0.25">
      <c r="A83" s="1">
        <v>42</v>
      </c>
      <c r="B83" s="47">
        <v>45459</v>
      </c>
      <c r="C83" s="10" t="s">
        <v>57</v>
      </c>
      <c r="D83" s="156">
        <v>100.1</v>
      </c>
      <c r="E83" s="39">
        <v>14.087999999999999</v>
      </c>
      <c r="F83" s="39">
        <v>14.566000000000001</v>
      </c>
      <c r="G83" s="39"/>
      <c r="H83" s="16">
        <f>F83-E83</f>
        <v>0.47800000000000153</v>
      </c>
      <c r="I83" s="16"/>
      <c r="J83" s="16">
        <f t="shared" si="3"/>
        <v>0.12378205689895611</v>
      </c>
      <c r="K83" s="16">
        <f t="shared" si="4"/>
        <v>0.60178205689895758</v>
      </c>
      <c r="M83" s="13" t="s">
        <v>69</v>
      </c>
    </row>
    <row r="84" spans="1:13" x14ac:dyDescent="0.25">
      <c r="A84" s="1">
        <v>43</v>
      </c>
      <c r="B84" s="48">
        <v>45866</v>
      </c>
      <c r="C84" s="66">
        <v>43441342</v>
      </c>
      <c r="D84" s="156">
        <v>69.3</v>
      </c>
      <c r="E84" s="5">
        <v>8.3390000000000004</v>
      </c>
      <c r="F84" s="5">
        <v>8.3390000000000004</v>
      </c>
      <c r="G84" s="5">
        <f>F84-E84</f>
        <v>0</v>
      </c>
      <c r="H84" s="16">
        <f t="shared" si="1"/>
        <v>0</v>
      </c>
      <c r="I84" s="16"/>
      <c r="J84" s="16">
        <f t="shared" si="3"/>
        <v>8.5695270160815767E-2</v>
      </c>
      <c r="K84" s="16">
        <f t="shared" si="4"/>
        <v>8.5695270160815767E-2</v>
      </c>
      <c r="M84" s="13" t="s">
        <v>69</v>
      </c>
    </row>
    <row r="85" spans="1:13" x14ac:dyDescent="0.25">
      <c r="A85" s="1">
        <v>44</v>
      </c>
      <c r="B85" s="47">
        <v>45747</v>
      </c>
      <c r="C85" s="66">
        <v>43441345</v>
      </c>
      <c r="D85" s="156">
        <v>53.3</v>
      </c>
      <c r="E85" s="5">
        <v>18.696000000000002</v>
      </c>
      <c r="F85" s="5">
        <v>18.757999999999999</v>
      </c>
      <c r="G85" s="5">
        <f>F85-E85</f>
        <v>6.1999999999997613E-2</v>
      </c>
      <c r="H85" s="16">
        <f t="shared" si="1"/>
        <v>5.330759999999795E-2</v>
      </c>
      <c r="I85" s="16"/>
      <c r="J85" s="16">
        <f t="shared" si="3"/>
        <v>6.5909926400742863E-2</v>
      </c>
      <c r="K85" s="16">
        <f t="shared" si="4"/>
        <v>0.11921752640074082</v>
      </c>
      <c r="M85" s="13" t="s">
        <v>69</v>
      </c>
    </row>
    <row r="86" spans="1:13" x14ac:dyDescent="0.25">
      <c r="A86" s="1">
        <v>45</v>
      </c>
      <c r="B86" s="33"/>
      <c r="C86" s="66">
        <v>43441348</v>
      </c>
      <c r="D86" s="156">
        <v>52.9</v>
      </c>
      <c r="E86" s="5">
        <v>61.003999999999998</v>
      </c>
      <c r="F86" s="5">
        <v>62.328000000000003</v>
      </c>
      <c r="G86" s="5"/>
      <c r="H86" s="16">
        <f t="shared" si="1"/>
        <v>0</v>
      </c>
      <c r="I86" s="16">
        <f>(((D86*0.015)*12)/7)</f>
        <v>1.3602857142857143</v>
      </c>
      <c r="J86" s="16"/>
      <c r="K86" s="16">
        <f t="shared" si="4"/>
        <v>1.3602857142857143</v>
      </c>
      <c r="M86" s="13" t="s">
        <v>71</v>
      </c>
    </row>
    <row r="87" spans="1:13" x14ac:dyDescent="0.25">
      <c r="A87" s="1">
        <v>46</v>
      </c>
      <c r="B87" s="52">
        <v>45866</v>
      </c>
      <c r="C87" s="66">
        <v>43441349</v>
      </c>
      <c r="D87" s="156">
        <v>100.9</v>
      </c>
      <c r="E87" s="5">
        <v>25.093</v>
      </c>
      <c r="F87" s="5">
        <v>25.152000000000001</v>
      </c>
      <c r="G87" s="5">
        <f>F87-E87</f>
        <v>5.9000000000001052E-2</v>
      </c>
      <c r="H87" s="16">
        <f t="shared" si="1"/>
        <v>5.0728200000000903E-2</v>
      </c>
      <c r="I87" s="16"/>
      <c r="J87" s="16">
        <f t="shared" si="3"/>
        <v>0.12477132408695978</v>
      </c>
      <c r="K87" s="16">
        <f t="shared" si="4"/>
        <v>0.17549952408696068</v>
      </c>
      <c r="M87" s="13" t="s">
        <v>69</v>
      </c>
    </row>
    <row r="88" spans="1:13" x14ac:dyDescent="0.25">
      <c r="A88" s="1">
        <v>47</v>
      </c>
      <c r="B88" s="47">
        <v>45459</v>
      </c>
      <c r="C88" s="66" t="s">
        <v>108</v>
      </c>
      <c r="D88" s="156">
        <v>85.4</v>
      </c>
      <c r="E88" s="39">
        <v>3.3184999999999998</v>
      </c>
      <c r="F88" s="39">
        <v>3.3184999999999998</v>
      </c>
      <c r="G88" s="5"/>
      <c r="H88" s="16">
        <f>F88-E88</f>
        <v>0</v>
      </c>
      <c r="I88" s="16">
        <f>$H$120/$D$120*D88</f>
        <v>0.34471383351038165</v>
      </c>
      <c r="J88" s="16">
        <f t="shared" si="3"/>
        <v>0.10560427231938914</v>
      </c>
      <c r="K88" s="16">
        <f t="shared" si="4"/>
        <v>0.45031810582977078</v>
      </c>
      <c r="M88" s="13" t="s">
        <v>69</v>
      </c>
    </row>
    <row r="89" spans="1:13" x14ac:dyDescent="0.25">
      <c r="A89" s="1">
        <v>48</v>
      </c>
      <c r="B89" s="48">
        <v>45769</v>
      </c>
      <c r="C89" s="66">
        <v>43441356</v>
      </c>
      <c r="D89" s="156">
        <v>53.2</v>
      </c>
      <c r="E89" s="5">
        <v>46.75</v>
      </c>
      <c r="F89" s="5">
        <v>47.649000000000001</v>
      </c>
      <c r="G89" s="5">
        <f>F89-E89</f>
        <v>0.89900000000000091</v>
      </c>
      <c r="H89" s="16">
        <f>G89*0.8598</f>
        <v>0.77296020000000076</v>
      </c>
      <c r="I89" s="16"/>
      <c r="J89" s="16">
        <f t="shared" si="3"/>
        <v>6.578626800224241E-2</v>
      </c>
      <c r="K89" s="16">
        <f t="shared" si="4"/>
        <v>0.83874646800224317</v>
      </c>
      <c r="M89" s="13" t="s">
        <v>69</v>
      </c>
    </row>
    <row r="90" spans="1:13" x14ac:dyDescent="0.25">
      <c r="A90" s="1">
        <v>49</v>
      </c>
      <c r="B90" s="47">
        <v>45607</v>
      </c>
      <c r="C90" s="66">
        <v>43441343</v>
      </c>
      <c r="D90" s="156">
        <v>53.3</v>
      </c>
      <c r="E90" s="5">
        <v>18.317</v>
      </c>
      <c r="F90" s="5">
        <v>19.109000000000002</v>
      </c>
      <c r="G90" s="5">
        <f>F90-E90</f>
        <v>0.79200000000000159</v>
      </c>
      <c r="H90" s="16">
        <f t="shared" si="1"/>
        <v>0.68096160000000139</v>
      </c>
      <c r="I90" s="16"/>
      <c r="J90" s="16">
        <f t="shared" si="3"/>
        <v>6.5909926400742863E-2</v>
      </c>
      <c r="K90" s="16">
        <f t="shared" si="4"/>
        <v>0.74687152640074428</v>
      </c>
      <c r="L90" s="24"/>
      <c r="M90" s="13" t="s">
        <v>69</v>
      </c>
    </row>
    <row r="91" spans="1:13" x14ac:dyDescent="0.25">
      <c r="A91" s="1">
        <v>50</v>
      </c>
      <c r="B91" s="52">
        <v>45846</v>
      </c>
      <c r="C91" s="66">
        <v>43441352</v>
      </c>
      <c r="D91" s="156">
        <v>99.5</v>
      </c>
      <c r="E91" s="5">
        <v>84.378</v>
      </c>
      <c r="F91" s="5">
        <v>85.399000000000001</v>
      </c>
      <c r="G91" s="5">
        <f>F91-E91</f>
        <v>1.0210000000000008</v>
      </c>
      <c r="H91" s="16">
        <f>G91*0.8598</f>
        <v>0.87785580000000074</v>
      </c>
      <c r="I91" s="16"/>
      <c r="J91" s="16">
        <f t="shared" si="3"/>
        <v>0.12304010650795337</v>
      </c>
      <c r="K91" s="16">
        <f t="shared" si="4"/>
        <v>1.0008959065079541</v>
      </c>
      <c r="L91" s="24"/>
      <c r="M91" s="13" t="s">
        <v>69</v>
      </c>
    </row>
    <row r="92" spans="1:13" x14ac:dyDescent="0.25">
      <c r="A92" s="1">
        <v>51</v>
      </c>
      <c r="B92" s="38"/>
      <c r="C92" s="66">
        <v>43441357</v>
      </c>
      <c r="D92" s="156">
        <v>84.8</v>
      </c>
      <c r="E92" s="5">
        <v>90.488</v>
      </c>
      <c r="F92" s="5">
        <v>90.488</v>
      </c>
      <c r="G92" s="5"/>
      <c r="H92" s="16">
        <f t="shared" si="1"/>
        <v>0</v>
      </c>
      <c r="I92" s="16">
        <f t="shared" ref="I92:I93" si="6">(((D92*0.015)*12)/7)</f>
        <v>2.1805714285714286</v>
      </c>
      <c r="J92" s="16"/>
      <c r="K92" s="16">
        <f t="shared" si="4"/>
        <v>2.1805714285714286</v>
      </c>
      <c r="L92" s="24"/>
      <c r="M92" s="13" t="s">
        <v>71</v>
      </c>
    </row>
    <row r="93" spans="1:13" x14ac:dyDescent="0.25">
      <c r="A93" s="1">
        <v>52</v>
      </c>
      <c r="B93" s="38"/>
      <c r="C93" s="66">
        <v>43441355</v>
      </c>
      <c r="D93" s="156">
        <v>52.9</v>
      </c>
      <c r="E93" s="5">
        <v>48.533000000000001</v>
      </c>
      <c r="F93" s="5">
        <v>49.418999999999997</v>
      </c>
      <c r="G93" s="5"/>
      <c r="H93" s="16">
        <f>G93*0.8598</f>
        <v>0</v>
      </c>
      <c r="I93" s="16">
        <f t="shared" si="6"/>
        <v>1.3602857142857143</v>
      </c>
      <c r="J93" s="16"/>
      <c r="K93" s="16">
        <f t="shared" si="4"/>
        <v>1.3602857142857143</v>
      </c>
      <c r="L93" s="24"/>
      <c r="M93" s="13" t="s">
        <v>71</v>
      </c>
    </row>
    <row r="94" spans="1:13" x14ac:dyDescent="0.25">
      <c r="A94" s="1">
        <v>53</v>
      </c>
      <c r="B94" s="48">
        <v>45635</v>
      </c>
      <c r="C94" s="66">
        <v>43441358</v>
      </c>
      <c r="D94" s="156">
        <v>52.8</v>
      </c>
      <c r="E94" s="5">
        <v>18.559999999999999</v>
      </c>
      <c r="F94" s="5">
        <v>18.631</v>
      </c>
      <c r="G94" s="5">
        <f>F94-E94</f>
        <v>7.1000000000001506E-2</v>
      </c>
      <c r="H94" s="16">
        <f t="shared" si="1"/>
        <v>6.1045800000001295E-2</v>
      </c>
      <c r="I94" s="16"/>
      <c r="J94" s="16">
        <f t="shared" si="3"/>
        <v>6.5291634408240581E-2</v>
      </c>
      <c r="K94" s="16">
        <f t="shared" si="4"/>
        <v>0.12633743440824188</v>
      </c>
      <c r="L94" s="24"/>
      <c r="M94" s="13" t="s">
        <v>69</v>
      </c>
    </row>
    <row r="95" spans="1:13" x14ac:dyDescent="0.25">
      <c r="A95" s="1">
        <v>54</v>
      </c>
      <c r="B95" s="47">
        <v>45725</v>
      </c>
      <c r="C95" s="10" t="s">
        <v>102</v>
      </c>
      <c r="D95" s="89">
        <v>101</v>
      </c>
      <c r="E95" s="39">
        <v>4.5069999999999997</v>
      </c>
      <c r="F95" s="39">
        <v>4.7869999999999999</v>
      </c>
      <c r="G95" s="5"/>
      <c r="H95" s="16">
        <f>F95-E95</f>
        <v>0.28000000000000025</v>
      </c>
      <c r="I95" s="16"/>
      <c r="J95" s="16">
        <f t="shared" si="3"/>
        <v>0.12489498248546022</v>
      </c>
      <c r="K95" s="16">
        <f t="shared" si="4"/>
        <v>0.40489498248546046</v>
      </c>
      <c r="L95" s="24"/>
      <c r="M95" s="13" t="s">
        <v>69</v>
      </c>
    </row>
    <row r="96" spans="1:13" x14ac:dyDescent="0.25">
      <c r="A96" s="1">
        <v>55</v>
      </c>
      <c r="B96" s="33"/>
      <c r="C96" s="66">
        <v>43441053</v>
      </c>
      <c r="D96" s="156">
        <v>85.2</v>
      </c>
      <c r="E96" s="5">
        <v>45.667999999999999</v>
      </c>
      <c r="F96" s="5">
        <v>45.667999999999999</v>
      </c>
      <c r="G96" s="5"/>
      <c r="H96" s="16">
        <f t="shared" si="1"/>
        <v>0</v>
      </c>
      <c r="I96" s="16">
        <f>(((D96*0.015)*12)/7)</f>
        <v>2.1908571428571428</v>
      </c>
      <c r="J96" s="16"/>
      <c r="K96" s="16">
        <f>H96+I96+J96</f>
        <v>2.1908571428571428</v>
      </c>
      <c r="L96" s="24"/>
      <c r="M96" s="13" t="s">
        <v>71</v>
      </c>
    </row>
    <row r="97" spans="1:13" x14ac:dyDescent="0.25">
      <c r="A97" s="1">
        <v>56</v>
      </c>
      <c r="B97" s="47">
        <v>46042</v>
      </c>
      <c r="C97" s="66">
        <v>43441050</v>
      </c>
      <c r="D97" s="156">
        <v>52.5</v>
      </c>
      <c r="E97" s="5">
        <v>30.966000000000001</v>
      </c>
      <c r="F97" s="5">
        <v>31.155000000000001</v>
      </c>
      <c r="G97" s="5">
        <f>F97-E97</f>
        <v>0.18900000000000006</v>
      </c>
      <c r="H97" s="16">
        <f t="shared" si="1"/>
        <v>0.16250220000000004</v>
      </c>
      <c r="I97" s="16"/>
      <c r="J97" s="16">
        <f t="shared" si="3"/>
        <v>6.4920659212739221E-2</v>
      </c>
      <c r="K97" s="16">
        <f t="shared" si="4"/>
        <v>0.22742285921273925</v>
      </c>
      <c r="L97" s="24"/>
      <c r="M97" s="13" t="s">
        <v>69</v>
      </c>
    </row>
    <row r="98" spans="1:13" x14ac:dyDescent="0.25">
      <c r="A98" s="1">
        <v>57</v>
      </c>
      <c r="B98" s="33"/>
      <c r="C98" s="66">
        <v>43441051</v>
      </c>
      <c r="D98" s="156">
        <v>52.4</v>
      </c>
      <c r="E98" s="5">
        <v>39.287999999999997</v>
      </c>
      <c r="F98" s="5">
        <v>39.789000000000001</v>
      </c>
      <c r="G98" s="5"/>
      <c r="H98" s="16">
        <f t="shared" si="1"/>
        <v>0</v>
      </c>
      <c r="I98" s="16">
        <f>(((D98*0.015)*12)/7)</f>
        <v>1.3474285714285712</v>
      </c>
      <c r="J98" s="16"/>
      <c r="K98" s="16">
        <f t="shared" si="4"/>
        <v>1.3474285714285712</v>
      </c>
      <c r="L98" s="24"/>
      <c r="M98" s="13" t="s">
        <v>71</v>
      </c>
    </row>
    <row r="99" spans="1:13" x14ac:dyDescent="0.25">
      <c r="A99" s="1">
        <v>58</v>
      </c>
      <c r="B99" s="47">
        <v>46262</v>
      </c>
      <c r="C99" s="66" t="s">
        <v>142</v>
      </c>
      <c r="D99" s="156">
        <v>101.3</v>
      </c>
      <c r="E99" s="5">
        <v>0.33</v>
      </c>
      <c r="F99" s="5">
        <v>1.048</v>
      </c>
      <c r="G99" s="5"/>
      <c r="H99" s="16">
        <f>F99-E99</f>
        <v>0.71799999999999997</v>
      </c>
      <c r="I99" s="16"/>
      <c r="J99" s="16">
        <f t="shared" si="3"/>
        <v>0.12526595768096158</v>
      </c>
      <c r="K99" s="16">
        <f t="shared" si="4"/>
        <v>0.84326595768096158</v>
      </c>
      <c r="L99" s="24"/>
      <c r="M99" s="13" t="s">
        <v>69</v>
      </c>
    </row>
    <row r="100" spans="1:13" x14ac:dyDescent="0.25">
      <c r="A100" s="1">
        <v>59</v>
      </c>
      <c r="B100" s="47">
        <v>45754</v>
      </c>
      <c r="C100" s="66">
        <v>43441057</v>
      </c>
      <c r="D100" s="156">
        <v>85.3</v>
      </c>
      <c r="E100" s="5">
        <v>25.145</v>
      </c>
      <c r="F100" s="5">
        <v>25.145</v>
      </c>
      <c r="G100" s="5">
        <f t="shared" ref="G100:G105" si="7">F100-E100</f>
        <v>0</v>
      </c>
      <c r="H100" s="16">
        <f t="shared" si="1"/>
        <v>0</v>
      </c>
      <c r="I100" s="16">
        <f>$H$120/$D$120*D100</f>
        <v>0.34431018733531094</v>
      </c>
      <c r="J100" s="16">
        <f t="shared" si="3"/>
        <v>0.10548061392088867</v>
      </c>
      <c r="K100" s="16">
        <f>H100+I100+J100</f>
        <v>0.44979080125619963</v>
      </c>
      <c r="L100" s="24"/>
      <c r="M100" s="13" t="s">
        <v>69</v>
      </c>
    </row>
    <row r="101" spans="1:13" x14ac:dyDescent="0.25">
      <c r="A101" s="1">
        <v>60</v>
      </c>
      <c r="B101" s="47">
        <v>45703</v>
      </c>
      <c r="C101" s="66">
        <v>43441058</v>
      </c>
      <c r="D101" s="156">
        <v>52.5</v>
      </c>
      <c r="E101" s="5">
        <v>11.314</v>
      </c>
      <c r="F101" s="5">
        <v>12.089</v>
      </c>
      <c r="G101" s="5">
        <f t="shared" si="7"/>
        <v>0.77500000000000036</v>
      </c>
      <c r="H101" s="16">
        <f>G101*0.8598</f>
        <v>0.6663450000000003</v>
      </c>
      <c r="I101" s="16"/>
      <c r="J101" s="16">
        <f t="shared" si="3"/>
        <v>6.4920659212739221E-2</v>
      </c>
      <c r="K101" s="16">
        <f t="shared" si="4"/>
        <v>0.73126565921273956</v>
      </c>
      <c r="M101" s="13" t="s">
        <v>69</v>
      </c>
    </row>
    <row r="102" spans="1:13" x14ac:dyDescent="0.25">
      <c r="A102" s="1">
        <v>61</v>
      </c>
      <c r="B102" s="48">
        <v>45517</v>
      </c>
      <c r="C102" s="66">
        <v>43441054</v>
      </c>
      <c r="D102" s="156">
        <v>52.3</v>
      </c>
      <c r="E102" s="5">
        <v>20.364000000000001</v>
      </c>
      <c r="F102" s="5">
        <v>20.687999999999999</v>
      </c>
      <c r="G102" s="5">
        <f t="shared" si="7"/>
        <v>0.32399999999999807</v>
      </c>
      <c r="H102" s="16">
        <f t="shared" si="1"/>
        <v>0.27857519999999836</v>
      </c>
      <c r="I102" s="16"/>
      <c r="J102" s="16">
        <f t="shared" si="3"/>
        <v>6.4673342415738314E-2</v>
      </c>
      <c r="K102" s="16">
        <f t="shared" si="4"/>
        <v>0.34324854241573666</v>
      </c>
      <c r="M102" s="13" t="s">
        <v>69</v>
      </c>
    </row>
    <row r="103" spans="1:13" x14ac:dyDescent="0.25">
      <c r="A103" s="1">
        <v>62</v>
      </c>
      <c r="B103" s="47">
        <v>45907</v>
      </c>
      <c r="C103" s="66">
        <v>43441056</v>
      </c>
      <c r="D103" s="156">
        <v>100.5</v>
      </c>
      <c r="E103" s="5">
        <v>38.610999999999997</v>
      </c>
      <c r="F103" s="5">
        <v>39.396000000000001</v>
      </c>
      <c r="G103" s="5">
        <f t="shared" si="7"/>
        <v>0.78500000000000369</v>
      </c>
      <c r="H103" s="16">
        <f t="shared" si="1"/>
        <v>0.67494300000000318</v>
      </c>
      <c r="I103" s="16"/>
      <c r="J103" s="16">
        <f t="shared" si="3"/>
        <v>0.12427669049295793</v>
      </c>
      <c r="K103" s="16">
        <f t="shared" si="4"/>
        <v>0.79921969049296115</v>
      </c>
      <c r="M103" s="13" t="s">
        <v>69</v>
      </c>
    </row>
    <row r="104" spans="1:13" x14ac:dyDescent="0.25">
      <c r="A104" s="1">
        <v>63</v>
      </c>
      <c r="B104" s="47">
        <v>45920</v>
      </c>
      <c r="C104" s="66">
        <v>43441064</v>
      </c>
      <c r="D104" s="156">
        <v>85.2</v>
      </c>
      <c r="E104" s="5">
        <v>30.265000000000001</v>
      </c>
      <c r="F104" s="5">
        <v>30.942</v>
      </c>
      <c r="G104" s="5">
        <f t="shared" si="7"/>
        <v>0.6769999999999996</v>
      </c>
      <c r="H104" s="16">
        <f t="shared" si="1"/>
        <v>0.58208459999999962</v>
      </c>
      <c r="I104" s="16"/>
      <c r="J104" s="16">
        <f t="shared" si="3"/>
        <v>0.10535695552238822</v>
      </c>
      <c r="K104" s="16">
        <f t="shared" si="4"/>
        <v>0.68744155552238784</v>
      </c>
      <c r="M104" s="13" t="s">
        <v>69</v>
      </c>
    </row>
    <row r="105" spans="1:13" x14ac:dyDescent="0.25">
      <c r="A105" s="1">
        <v>64</v>
      </c>
      <c r="B105" s="47">
        <v>46278</v>
      </c>
      <c r="C105" s="66">
        <v>43441061</v>
      </c>
      <c r="D105" s="156">
        <v>52.7</v>
      </c>
      <c r="E105" s="5">
        <v>25.341000000000001</v>
      </c>
      <c r="F105" s="5">
        <v>25.634</v>
      </c>
      <c r="G105" s="5">
        <f t="shared" si="7"/>
        <v>0.29299999999999926</v>
      </c>
      <c r="H105" s="16">
        <f t="shared" si="1"/>
        <v>0.25192139999999935</v>
      </c>
      <c r="I105" s="16"/>
      <c r="J105" s="16">
        <f t="shared" si="3"/>
        <v>6.5167976009740128E-2</v>
      </c>
      <c r="K105" s="16">
        <f t="shared" si="4"/>
        <v>0.31708937600973947</v>
      </c>
      <c r="M105" s="13" t="s">
        <v>69</v>
      </c>
    </row>
    <row r="106" spans="1:13" x14ac:dyDescent="0.25">
      <c r="A106" s="1">
        <v>65</v>
      </c>
      <c r="B106" s="33"/>
      <c r="C106" s="66">
        <v>43441055</v>
      </c>
      <c r="D106" s="156">
        <v>53.1</v>
      </c>
      <c r="E106" s="5">
        <v>17.602</v>
      </c>
      <c r="F106" s="5">
        <v>17.776</v>
      </c>
      <c r="G106" s="5"/>
      <c r="H106" s="16">
        <f t="shared" si="1"/>
        <v>0</v>
      </c>
      <c r="I106" s="16">
        <f>(((D106*0.015)*12)/7)</f>
        <v>1.3654285714285714</v>
      </c>
      <c r="J106" s="16"/>
      <c r="K106" s="16">
        <f t="shared" si="4"/>
        <v>1.3654285714285714</v>
      </c>
      <c r="M106" s="13" t="s">
        <v>71</v>
      </c>
    </row>
    <row r="107" spans="1:13" x14ac:dyDescent="0.25">
      <c r="A107" s="1">
        <v>66</v>
      </c>
      <c r="B107" s="47">
        <v>45580</v>
      </c>
      <c r="C107" s="66">
        <v>43441063</v>
      </c>
      <c r="D107" s="156">
        <v>101.1</v>
      </c>
      <c r="E107" s="5">
        <v>7.6879999999999997</v>
      </c>
      <c r="F107" s="5">
        <v>7.8970000000000002</v>
      </c>
      <c r="G107" s="5">
        <f>F107-E107</f>
        <v>0.20900000000000052</v>
      </c>
      <c r="H107" s="16">
        <f t="shared" ref="H107:H126" si="8">G107*0.8598</f>
        <v>0.17969820000000045</v>
      </c>
      <c r="I107" s="16"/>
      <c r="J107" s="16">
        <f t="shared" ref="J107:J119" si="9">D107/($E$11-$E$12)*$J$10</f>
        <v>0.12501864088396067</v>
      </c>
      <c r="K107" s="16">
        <f t="shared" si="4"/>
        <v>0.30471684088396112</v>
      </c>
      <c r="M107" s="13" t="s">
        <v>69</v>
      </c>
    </row>
    <row r="108" spans="1:13" x14ac:dyDescent="0.25">
      <c r="A108" s="1">
        <v>67</v>
      </c>
      <c r="B108" s="47">
        <v>45870</v>
      </c>
      <c r="C108" s="66">
        <v>43441067</v>
      </c>
      <c r="D108" s="156">
        <v>84.7</v>
      </c>
      <c r="E108" s="5">
        <v>19.030999999999995</v>
      </c>
      <c r="F108" s="5">
        <v>19.030999999999995</v>
      </c>
      <c r="G108" s="5">
        <f>F108-E108</f>
        <v>0</v>
      </c>
      <c r="H108" s="16">
        <f t="shared" si="8"/>
        <v>0</v>
      </c>
      <c r="I108" s="16">
        <f>$H$120/$D$120*D108</f>
        <v>0.3418883102848867</v>
      </c>
      <c r="J108" s="16">
        <f t="shared" si="9"/>
        <v>0.10473866352988595</v>
      </c>
      <c r="K108" s="16">
        <f t="shared" si="4"/>
        <v>0.44662697381477268</v>
      </c>
      <c r="M108" s="13" t="s">
        <v>69</v>
      </c>
    </row>
    <row r="109" spans="1:13" x14ac:dyDescent="0.25">
      <c r="A109" s="1">
        <v>68</v>
      </c>
      <c r="B109" s="47">
        <v>45790</v>
      </c>
      <c r="C109" s="66">
        <v>43441065</v>
      </c>
      <c r="D109" s="156">
        <v>52.7</v>
      </c>
      <c r="E109" s="5">
        <v>27.873999999999999</v>
      </c>
      <c r="F109" s="5">
        <v>27.873999999999999</v>
      </c>
      <c r="G109" s="5">
        <f>F109-E109</f>
        <v>0</v>
      </c>
      <c r="H109" s="16">
        <f>G109*0.8598</f>
        <v>0</v>
      </c>
      <c r="I109" s="16">
        <f>$H$120/$D$120*D109</f>
        <v>0.21272153426226129</v>
      </c>
      <c r="J109" s="16">
        <f t="shared" si="9"/>
        <v>6.5167976009740128E-2</v>
      </c>
      <c r="K109" s="16">
        <f t="shared" si="4"/>
        <v>0.27788951027200143</v>
      </c>
      <c r="M109" s="13" t="s">
        <v>69</v>
      </c>
    </row>
    <row r="110" spans="1:13" x14ac:dyDescent="0.25">
      <c r="A110" s="1">
        <v>69</v>
      </c>
      <c r="B110" s="47">
        <v>45768</v>
      </c>
      <c r="C110" s="66">
        <v>43441060</v>
      </c>
      <c r="D110" s="156">
        <v>53.3</v>
      </c>
      <c r="E110" s="5">
        <v>24.988</v>
      </c>
      <c r="F110" s="5">
        <v>25.425999999999998</v>
      </c>
      <c r="G110" s="5">
        <f>F110-E110</f>
        <v>0.43799999999999883</v>
      </c>
      <c r="H110" s="16">
        <f t="shared" si="8"/>
        <v>0.37659239999999899</v>
      </c>
      <c r="I110" s="16"/>
      <c r="J110" s="16">
        <f t="shared" si="9"/>
        <v>6.5909926400742863E-2</v>
      </c>
      <c r="K110" s="16">
        <f t="shared" si="4"/>
        <v>0.44250232640074183</v>
      </c>
      <c r="M110" s="13" t="s">
        <v>69</v>
      </c>
    </row>
    <row r="111" spans="1:13" x14ac:dyDescent="0.25">
      <c r="A111" s="1">
        <v>70</v>
      </c>
      <c r="B111" s="47">
        <v>46117</v>
      </c>
      <c r="C111" s="66">
        <v>43441066</v>
      </c>
      <c r="D111" s="156">
        <v>101.3</v>
      </c>
      <c r="E111" s="5">
        <v>61.119</v>
      </c>
      <c r="F111" s="5">
        <v>61.853000000000002</v>
      </c>
      <c r="G111" s="5">
        <f>F111-E111</f>
        <v>0.73400000000000176</v>
      </c>
      <c r="H111" s="16">
        <f t="shared" si="8"/>
        <v>0.63109320000000158</v>
      </c>
      <c r="I111" s="16"/>
      <c r="J111" s="16">
        <f t="shared" si="9"/>
        <v>0.12526595768096158</v>
      </c>
      <c r="K111" s="16">
        <f t="shared" si="4"/>
        <v>0.75635915768096318</v>
      </c>
      <c r="M111" s="13" t="s">
        <v>69</v>
      </c>
    </row>
    <row r="112" spans="1:13" x14ac:dyDescent="0.25">
      <c r="A112" s="1">
        <v>71</v>
      </c>
      <c r="B112" s="33"/>
      <c r="C112" s="66">
        <v>43441350</v>
      </c>
      <c r="D112" s="156">
        <v>85.7</v>
      </c>
      <c r="E112" s="5">
        <v>72.227999999999994</v>
      </c>
      <c r="F112" s="5">
        <v>82.891000000000005</v>
      </c>
      <c r="G112" s="5"/>
      <c r="H112" s="16">
        <f t="shared" si="8"/>
        <v>0</v>
      </c>
      <c r="I112" s="16">
        <f t="shared" ref="I112:I113" si="10">(((D112*0.015)*12)/7)</f>
        <v>2.2037142857142862</v>
      </c>
      <c r="J112" s="16"/>
      <c r="K112" s="16">
        <f t="shared" si="4"/>
        <v>2.2037142857142862</v>
      </c>
      <c r="M112" s="13" t="s">
        <v>71</v>
      </c>
    </row>
    <row r="113" spans="1:16" x14ac:dyDescent="0.25">
      <c r="A113" s="1">
        <v>72</v>
      </c>
      <c r="B113" s="33"/>
      <c r="C113" s="66">
        <v>43441353</v>
      </c>
      <c r="D113" s="156">
        <v>52.8</v>
      </c>
      <c r="E113" s="5">
        <v>31.547000000000001</v>
      </c>
      <c r="F113" s="5">
        <v>32.359000000000002</v>
      </c>
      <c r="G113" s="5"/>
      <c r="H113" s="16">
        <f t="shared" si="8"/>
        <v>0</v>
      </c>
      <c r="I113" s="16">
        <f t="shared" si="10"/>
        <v>1.3577142857142857</v>
      </c>
      <c r="J113" s="16"/>
      <c r="K113" s="16">
        <f t="shared" si="4"/>
        <v>1.3577142857142857</v>
      </c>
      <c r="M113" s="13" t="s">
        <v>71</v>
      </c>
    </row>
    <row r="114" spans="1:16" x14ac:dyDescent="0.25">
      <c r="A114" s="1">
        <v>73</v>
      </c>
      <c r="B114" s="47">
        <v>45982</v>
      </c>
      <c r="C114" s="66" t="s">
        <v>143</v>
      </c>
      <c r="D114" s="156">
        <v>52.8</v>
      </c>
      <c r="E114" s="39">
        <v>0</v>
      </c>
      <c r="F114" s="39">
        <v>0</v>
      </c>
      <c r="G114" s="5"/>
      <c r="H114" s="16">
        <f>F114-E114</f>
        <v>0</v>
      </c>
      <c r="I114" s="16"/>
      <c r="J114" s="16">
        <f t="shared" si="9"/>
        <v>6.5291634408240581E-2</v>
      </c>
      <c r="K114" s="16">
        <f t="shared" si="4"/>
        <v>6.5291634408240581E-2</v>
      </c>
      <c r="M114" s="13" t="s">
        <v>69</v>
      </c>
    </row>
    <row r="115" spans="1:16" x14ac:dyDescent="0.25">
      <c r="A115" s="42">
        <v>74</v>
      </c>
      <c r="B115" s="47">
        <v>46168</v>
      </c>
      <c r="C115" s="66" t="s">
        <v>144</v>
      </c>
      <c r="D115" s="156">
        <v>100.6</v>
      </c>
      <c r="E115" s="39">
        <v>0</v>
      </c>
      <c r="F115" s="39">
        <v>0</v>
      </c>
      <c r="G115" s="5"/>
      <c r="H115" s="16">
        <f t="shared" ref="H115" si="11">F115-E115</f>
        <v>0</v>
      </c>
      <c r="I115" s="16"/>
      <c r="J115" s="16">
        <f t="shared" si="9"/>
        <v>0.12440034889145837</v>
      </c>
      <c r="K115" s="95">
        <f>H115+I115+J115</f>
        <v>0.12440034889145837</v>
      </c>
      <c r="M115" s="13" t="s">
        <v>69</v>
      </c>
      <c r="O115" s="12"/>
      <c r="P115" s="12"/>
    </row>
    <row r="116" spans="1:16" x14ac:dyDescent="0.25">
      <c r="A116" s="1" t="s">
        <v>37</v>
      </c>
      <c r="B116" s="47"/>
      <c r="C116" s="66"/>
      <c r="D116" s="156">
        <v>120.9</v>
      </c>
      <c r="E116" s="39"/>
      <c r="F116" s="39"/>
      <c r="G116" s="5"/>
      <c r="H116" s="16"/>
      <c r="I116" s="16"/>
      <c r="J116" s="95">
        <f t="shared" si="9"/>
        <v>0.14950300378705089</v>
      </c>
      <c r="K116" s="95">
        <f t="shared" ref="K116:K119" si="12">H116+I116+J116</f>
        <v>0.14950300378705089</v>
      </c>
      <c r="M116" s="13"/>
      <c r="O116" s="12"/>
      <c r="P116" s="12"/>
    </row>
    <row r="117" spans="1:16" x14ac:dyDescent="0.25">
      <c r="A117" s="1" t="s">
        <v>38</v>
      </c>
      <c r="B117" s="47"/>
      <c r="C117" s="66"/>
      <c r="D117" s="156">
        <v>68.5</v>
      </c>
      <c r="E117" s="39"/>
      <c r="F117" s="39"/>
      <c r="G117" s="5"/>
      <c r="H117" s="16"/>
      <c r="I117" s="16"/>
      <c r="J117" s="95">
        <f t="shared" si="9"/>
        <v>8.4706002972812125E-2</v>
      </c>
      <c r="K117" s="95">
        <f t="shared" si="12"/>
        <v>8.4706002972812125E-2</v>
      </c>
      <c r="M117" s="13"/>
      <c r="O117" s="12"/>
      <c r="P117" s="12"/>
    </row>
    <row r="118" spans="1:16" x14ac:dyDescent="0.25">
      <c r="A118" s="1" t="s">
        <v>39</v>
      </c>
      <c r="B118" s="47"/>
      <c r="C118" s="66"/>
      <c r="D118" s="156">
        <v>106.9</v>
      </c>
      <c r="E118" s="39"/>
      <c r="F118" s="39"/>
      <c r="G118" s="5"/>
      <c r="H118" s="16"/>
      <c r="I118" s="16"/>
      <c r="J118" s="95">
        <f t="shared" si="9"/>
        <v>0.13219082799698709</v>
      </c>
      <c r="K118" s="95">
        <f t="shared" si="12"/>
        <v>0.13219082799698709</v>
      </c>
      <c r="M118" s="13"/>
      <c r="O118" s="12"/>
      <c r="P118" s="12"/>
    </row>
    <row r="119" spans="1:16" ht="15.75" thickBot="1" x14ac:dyDescent="0.3">
      <c r="A119" s="192" t="s">
        <v>40</v>
      </c>
      <c r="B119" s="193"/>
      <c r="C119" s="69"/>
      <c r="D119" s="198">
        <v>163.80000000000001</v>
      </c>
      <c r="E119" s="194"/>
      <c r="F119" s="194"/>
      <c r="G119" s="195"/>
      <c r="H119" s="19"/>
      <c r="I119" s="19"/>
      <c r="J119" s="95">
        <f t="shared" si="9"/>
        <v>0.20255245674374639</v>
      </c>
      <c r="K119" s="95">
        <f t="shared" si="12"/>
        <v>0.20255245674374639</v>
      </c>
      <c r="M119" s="13"/>
      <c r="O119" s="12"/>
      <c r="P119" s="12"/>
    </row>
    <row r="120" spans="1:16" ht="15.75" thickBot="1" x14ac:dyDescent="0.3">
      <c r="A120" s="219" t="s">
        <v>73</v>
      </c>
      <c r="B120" s="220"/>
      <c r="C120" s="220"/>
      <c r="D120" s="92">
        <f>SUM(D42:D119)</f>
        <v>5798.800000000002</v>
      </c>
      <c r="E120" s="221" t="s">
        <v>74</v>
      </c>
      <c r="F120" s="221"/>
      <c r="G120" s="221"/>
      <c r="H120" s="64">
        <f>SUM(H42:H115)</f>
        <v>23.406634400000023</v>
      </c>
      <c r="I120" s="64">
        <f>SUM(I42:I115)</f>
        <v>31.703137606263368</v>
      </c>
      <c r="J120" s="64">
        <f>SUM(J42:J119)</f>
        <v>5.728227993736609</v>
      </c>
      <c r="K120" s="93">
        <f>SUM(K42:K119)</f>
        <v>60.83799999999998</v>
      </c>
      <c r="M120" s="13"/>
    </row>
    <row r="121" spans="1:16" x14ac:dyDescent="0.25">
      <c r="A121" s="9">
        <v>75</v>
      </c>
      <c r="B121" s="105">
        <v>46854</v>
      </c>
      <c r="C121" s="69" t="s">
        <v>145</v>
      </c>
      <c r="D121" s="155">
        <v>85</v>
      </c>
      <c r="E121" s="6">
        <v>0.76300000000000001</v>
      </c>
      <c r="F121" s="6">
        <v>1.679</v>
      </c>
      <c r="G121" s="6"/>
      <c r="H121" s="16">
        <f>F121-E121</f>
        <v>0.91600000000000004</v>
      </c>
      <c r="I121" s="16"/>
      <c r="J121" s="16">
        <f>D121/($E$18-$E$19)*$J$17</f>
        <v>0.13199814195548196</v>
      </c>
      <c r="K121" s="19">
        <f>H121+I121+J121</f>
        <v>1.047998141955482</v>
      </c>
      <c r="M121" s="13" t="s">
        <v>69</v>
      </c>
    </row>
    <row r="122" spans="1:16" x14ac:dyDescent="0.25">
      <c r="A122" s="1">
        <v>76</v>
      </c>
      <c r="B122" s="47">
        <v>45939</v>
      </c>
      <c r="C122" s="66">
        <v>43441335</v>
      </c>
      <c r="D122" s="156">
        <v>58.3</v>
      </c>
      <c r="E122" s="5">
        <v>46.023000000000003</v>
      </c>
      <c r="F122" s="5">
        <v>46.865000000000002</v>
      </c>
      <c r="G122" s="5">
        <f>F122-E122</f>
        <v>0.84199999999999875</v>
      </c>
      <c r="H122" s="16">
        <f>G122*0.8598</f>
        <v>0.72395159999999892</v>
      </c>
      <c r="I122" s="19"/>
      <c r="J122" s="16">
        <f>D122/($E$18-$E$19)*$J$17</f>
        <v>9.0535196188289369E-2</v>
      </c>
      <c r="K122" s="19">
        <f t="shared" ref="K122:K179" si="13">H122+I122+J122</f>
        <v>0.81448679618828823</v>
      </c>
      <c r="M122" s="13" t="s">
        <v>69</v>
      </c>
    </row>
    <row r="123" spans="1:16" x14ac:dyDescent="0.25">
      <c r="A123" s="1">
        <v>77</v>
      </c>
      <c r="B123" s="47">
        <v>45950</v>
      </c>
      <c r="C123" s="66">
        <v>43441338</v>
      </c>
      <c r="D123" s="156">
        <v>58.5</v>
      </c>
      <c r="E123" s="5">
        <v>45.008000000000003</v>
      </c>
      <c r="F123" s="5">
        <v>45.908000000000001</v>
      </c>
      <c r="G123" s="5">
        <f>F123-E123</f>
        <v>0.89999999999999858</v>
      </c>
      <c r="H123" s="16">
        <f>G123*0.8598</f>
        <v>0.77381999999999873</v>
      </c>
      <c r="I123" s="19"/>
      <c r="J123" s="16">
        <f>D123/($E$18-$E$19)*$J$17</f>
        <v>9.0845780051714051E-2</v>
      </c>
      <c r="K123" s="19">
        <f t="shared" si="13"/>
        <v>0.8646657800517128</v>
      </c>
      <c r="M123" s="13" t="s">
        <v>69</v>
      </c>
    </row>
    <row r="124" spans="1:16" x14ac:dyDescent="0.25">
      <c r="A124" s="1">
        <v>78</v>
      </c>
      <c r="B124" s="47">
        <v>45459</v>
      </c>
      <c r="C124" s="66" t="s">
        <v>109</v>
      </c>
      <c r="D124" s="156">
        <v>76.599999999999994</v>
      </c>
      <c r="E124" s="39">
        <v>7.149</v>
      </c>
      <c r="F124" s="39">
        <v>7.806</v>
      </c>
      <c r="G124" s="5"/>
      <c r="H124" s="16">
        <f>F124-E124</f>
        <v>0.65700000000000003</v>
      </c>
      <c r="I124" s="16"/>
      <c r="J124" s="16">
        <f>D124/($E$18-$E$19)*$J$17</f>
        <v>0.11895361969164608</v>
      </c>
      <c r="K124" s="19">
        <f t="shared" si="13"/>
        <v>0.77595361969164611</v>
      </c>
      <c r="M124" s="13" t="s">
        <v>69</v>
      </c>
    </row>
    <row r="125" spans="1:16" x14ac:dyDescent="0.25">
      <c r="A125" s="1">
        <v>79</v>
      </c>
      <c r="B125" s="47">
        <v>45747</v>
      </c>
      <c r="C125" s="66">
        <v>43441336</v>
      </c>
      <c r="D125" s="156">
        <v>85.7</v>
      </c>
      <c r="E125" s="5">
        <v>23.251999999999999</v>
      </c>
      <c r="F125" s="5">
        <v>23.536000000000001</v>
      </c>
      <c r="G125" s="5">
        <f>F125-E125</f>
        <v>0.28400000000000247</v>
      </c>
      <c r="H125" s="16">
        <f>G125*0.8598</f>
        <v>0.24418320000000213</v>
      </c>
      <c r="I125" s="16"/>
      <c r="J125" s="16">
        <f>D125/($E$18-$E$19)*$J$17</f>
        <v>0.13308518547746828</v>
      </c>
      <c r="K125" s="19">
        <f t="shared" si="13"/>
        <v>0.37726838547747044</v>
      </c>
      <c r="M125" s="13" t="s">
        <v>69</v>
      </c>
      <c r="O125" s="24"/>
    </row>
    <row r="126" spans="1:16" x14ac:dyDescent="0.25">
      <c r="A126" s="1">
        <v>80</v>
      </c>
      <c r="B126" s="33"/>
      <c r="C126" s="66">
        <v>43441339</v>
      </c>
      <c r="D126" s="156">
        <v>58.3</v>
      </c>
      <c r="E126" s="5">
        <v>42.04</v>
      </c>
      <c r="F126" s="5">
        <v>42.872999999999998</v>
      </c>
      <c r="G126" s="5"/>
      <c r="H126" s="16">
        <f t="shared" si="8"/>
        <v>0</v>
      </c>
      <c r="I126" s="16">
        <f>(((D126*0.015)*12)/7)</f>
        <v>1.4991428571428571</v>
      </c>
      <c r="J126" s="16"/>
      <c r="K126" s="19">
        <f t="shared" si="13"/>
        <v>1.4991428571428571</v>
      </c>
      <c r="M126" s="13" t="s">
        <v>71</v>
      </c>
      <c r="O126" s="30"/>
    </row>
    <row r="127" spans="1:16" x14ac:dyDescent="0.25">
      <c r="A127" s="1">
        <v>81</v>
      </c>
      <c r="B127" s="47">
        <v>46832</v>
      </c>
      <c r="C127" s="66" t="s">
        <v>133</v>
      </c>
      <c r="D127" s="156">
        <v>58.4</v>
      </c>
      <c r="E127" s="39">
        <v>1E-3</v>
      </c>
      <c r="F127" s="39">
        <v>1E-3</v>
      </c>
      <c r="G127" s="5"/>
      <c r="H127" s="16">
        <f>F127-E127</f>
        <v>0</v>
      </c>
      <c r="I127" s="16"/>
      <c r="J127" s="16">
        <f>D127/($E$18-$E$19)*$J$17</f>
        <v>9.0690488120001717E-2</v>
      </c>
      <c r="K127" s="19">
        <f t="shared" si="13"/>
        <v>9.0690488120001717E-2</v>
      </c>
      <c r="M127" s="13" t="s">
        <v>69</v>
      </c>
      <c r="O127" s="24"/>
    </row>
    <row r="128" spans="1:16" x14ac:dyDescent="0.25">
      <c r="A128" s="1">
        <v>82</v>
      </c>
      <c r="B128" s="48">
        <v>45937</v>
      </c>
      <c r="C128" s="66">
        <v>43441334</v>
      </c>
      <c r="D128" s="156">
        <v>76.400000000000006</v>
      </c>
      <c r="E128" s="5">
        <v>31.844000000000001</v>
      </c>
      <c r="F128" s="5">
        <v>31.844000000000001</v>
      </c>
      <c r="G128" s="5">
        <f>F128-E128</f>
        <v>0</v>
      </c>
      <c r="H128" s="16">
        <f t="shared" ref="H128:H155" si="14">G128*0.8598</f>
        <v>0</v>
      </c>
      <c r="I128" s="16"/>
      <c r="J128" s="16">
        <f>D128/($E$18-$E$19)*$J$17</f>
        <v>0.11864303582822144</v>
      </c>
      <c r="K128" s="19">
        <f t="shared" si="13"/>
        <v>0.11864303582822144</v>
      </c>
      <c r="M128" s="13" t="s">
        <v>69</v>
      </c>
    </row>
    <row r="129" spans="1:13" x14ac:dyDescent="0.25">
      <c r="A129" s="1">
        <v>83</v>
      </c>
      <c r="B129" s="47">
        <v>45847</v>
      </c>
      <c r="C129" s="66">
        <v>43441340</v>
      </c>
      <c r="D129" s="156">
        <v>85.5</v>
      </c>
      <c r="E129" s="5">
        <v>59.927999999999997</v>
      </c>
      <c r="F129" s="5">
        <v>60.497999999999998</v>
      </c>
      <c r="G129" s="5">
        <f>F129-E129</f>
        <v>0.57000000000000028</v>
      </c>
      <c r="H129" s="16">
        <f t="shared" si="14"/>
        <v>0.49008600000000024</v>
      </c>
      <c r="I129" s="16"/>
      <c r="J129" s="16">
        <f>D129/($E$18-$E$19)*$J$17</f>
        <v>0.13277460161404361</v>
      </c>
      <c r="K129" s="19">
        <f t="shared" si="13"/>
        <v>0.62286060161404389</v>
      </c>
      <c r="M129" s="13" t="s">
        <v>69</v>
      </c>
    </row>
    <row r="130" spans="1:13" x14ac:dyDescent="0.25">
      <c r="A130" s="1">
        <v>84</v>
      </c>
      <c r="B130" s="33"/>
      <c r="C130" s="66">
        <v>43441326</v>
      </c>
      <c r="D130" s="156">
        <v>58.6</v>
      </c>
      <c r="E130" s="5">
        <v>6.2569999999999997</v>
      </c>
      <c r="F130" s="5">
        <v>6.2569999999999997</v>
      </c>
      <c r="G130" s="5"/>
      <c r="H130" s="16">
        <f t="shared" si="14"/>
        <v>0</v>
      </c>
      <c r="I130" s="16">
        <f t="shared" ref="I130:I131" si="15">(((D130*0.015)*12)/7)</f>
        <v>1.5068571428571429</v>
      </c>
      <c r="J130" s="16"/>
      <c r="K130" s="19">
        <f t="shared" si="13"/>
        <v>1.5068571428571429</v>
      </c>
      <c r="M130" s="13" t="s">
        <v>71</v>
      </c>
    </row>
    <row r="131" spans="1:13" x14ac:dyDescent="0.25">
      <c r="A131" s="1">
        <v>85</v>
      </c>
      <c r="B131" s="33"/>
      <c r="C131" s="66">
        <v>43441323</v>
      </c>
      <c r="D131" s="156">
        <v>59.6</v>
      </c>
      <c r="E131" s="5">
        <v>30.591999999999999</v>
      </c>
      <c r="F131" s="5">
        <v>31.298999999999999</v>
      </c>
      <c r="G131" s="5"/>
      <c r="H131" s="16">
        <f t="shared" si="14"/>
        <v>0</v>
      </c>
      <c r="I131" s="16">
        <f t="shared" si="15"/>
        <v>1.5325714285714285</v>
      </c>
      <c r="J131" s="16"/>
      <c r="K131" s="19">
        <f t="shared" si="13"/>
        <v>1.5325714285714285</v>
      </c>
      <c r="M131" s="13" t="s">
        <v>71</v>
      </c>
    </row>
    <row r="132" spans="1:13" x14ac:dyDescent="0.25">
      <c r="A132" s="1">
        <v>86</v>
      </c>
      <c r="B132" s="48">
        <v>45674</v>
      </c>
      <c r="C132" s="66">
        <v>43441329</v>
      </c>
      <c r="D132" s="156">
        <v>76.5</v>
      </c>
      <c r="E132" s="5">
        <v>8.0090000000000003</v>
      </c>
      <c r="F132" s="5">
        <v>8.0150000000000006</v>
      </c>
      <c r="G132" s="5">
        <f>F132-E132</f>
        <v>6.0000000000002274E-3</v>
      </c>
      <c r="H132" s="16">
        <f>G132*0.8598</f>
        <v>5.1588000000001959E-3</v>
      </c>
      <c r="I132" s="16"/>
      <c r="J132" s="16">
        <f>D132/($E$18-$E$19)*$J$17</f>
        <v>0.11879832775993375</v>
      </c>
      <c r="K132" s="19">
        <f>H132+I132+J132</f>
        <v>0.12395712775993395</v>
      </c>
      <c r="M132" s="13" t="s">
        <v>69</v>
      </c>
    </row>
    <row r="133" spans="1:13" x14ac:dyDescent="0.25">
      <c r="A133" s="1">
        <v>87</v>
      </c>
      <c r="B133" s="47">
        <v>46265</v>
      </c>
      <c r="C133" s="66">
        <v>43441330</v>
      </c>
      <c r="D133" s="156">
        <v>85.1</v>
      </c>
      <c r="E133" s="5">
        <v>56.064999999999998</v>
      </c>
      <c r="F133" s="5">
        <v>56.753999999999998</v>
      </c>
      <c r="G133" s="5">
        <f>F133-E133</f>
        <v>0.68900000000000006</v>
      </c>
      <c r="H133" s="16">
        <f>G133*0.8598</f>
        <v>0.5924022000000001</v>
      </c>
      <c r="I133" s="16"/>
      <c r="J133" s="16">
        <f>D133/($E$18-$E$19)*$J$17</f>
        <v>0.13215343388719428</v>
      </c>
      <c r="K133" s="19">
        <f t="shared" si="13"/>
        <v>0.72455563388719435</v>
      </c>
      <c r="M133" s="13" t="s">
        <v>69</v>
      </c>
    </row>
    <row r="134" spans="1:13" x14ac:dyDescent="0.25">
      <c r="A134" s="1">
        <v>88</v>
      </c>
      <c r="B134" s="47">
        <v>45914</v>
      </c>
      <c r="C134" s="66">
        <v>43441327</v>
      </c>
      <c r="D134" s="156">
        <v>58.4</v>
      </c>
      <c r="E134" s="5">
        <v>30.274000000000001</v>
      </c>
      <c r="F134" s="5">
        <v>30.704999999999998</v>
      </c>
      <c r="G134" s="5">
        <f>F134-E134</f>
        <v>0.43099999999999739</v>
      </c>
      <c r="H134" s="16">
        <f t="shared" si="14"/>
        <v>0.37057379999999773</v>
      </c>
      <c r="I134" s="16"/>
      <c r="J134" s="16">
        <f>D134/($E$18-$E$19)*$J$17</f>
        <v>9.0690488120001717E-2</v>
      </c>
      <c r="K134" s="19">
        <f t="shared" si="13"/>
        <v>0.46126428811999942</v>
      </c>
      <c r="M134" s="13" t="s">
        <v>69</v>
      </c>
    </row>
    <row r="135" spans="1:13" x14ac:dyDescent="0.25">
      <c r="A135" s="1">
        <v>89</v>
      </c>
      <c r="B135" s="47">
        <v>45889</v>
      </c>
      <c r="C135" s="66">
        <v>43441324</v>
      </c>
      <c r="D135" s="156">
        <v>58.7</v>
      </c>
      <c r="E135" s="5">
        <v>33.435000000000002</v>
      </c>
      <c r="F135" s="5">
        <v>33.438000000000002</v>
      </c>
      <c r="G135" s="5">
        <f>F135-E135</f>
        <v>3.0000000000001137E-3</v>
      </c>
      <c r="H135" s="16">
        <f t="shared" si="14"/>
        <v>2.5794000000000979E-3</v>
      </c>
      <c r="I135" s="16"/>
      <c r="J135" s="16">
        <f>D135/($E$18-$E$19)*$J$17</f>
        <v>9.1156363915138719E-2</v>
      </c>
      <c r="K135" s="19">
        <f t="shared" si="13"/>
        <v>9.3735763915138812E-2</v>
      </c>
      <c r="M135" s="13" t="s">
        <v>69</v>
      </c>
    </row>
    <row r="136" spans="1:13" x14ac:dyDescent="0.25">
      <c r="A136" s="1">
        <v>90</v>
      </c>
      <c r="B136" s="33"/>
      <c r="C136" s="66">
        <v>43441325</v>
      </c>
      <c r="D136" s="156">
        <v>77.7</v>
      </c>
      <c r="E136" s="5">
        <v>40.341000000000001</v>
      </c>
      <c r="F136" s="5">
        <v>41.16</v>
      </c>
      <c r="G136" s="5"/>
      <c r="H136" s="16">
        <f t="shared" si="14"/>
        <v>0</v>
      </c>
      <c r="I136" s="16">
        <f>(((D136*0.015)*12)/7)</f>
        <v>1.998</v>
      </c>
      <c r="J136" s="16"/>
      <c r="K136" s="19">
        <f t="shared" si="13"/>
        <v>1.998</v>
      </c>
      <c r="M136" s="13" t="s">
        <v>71</v>
      </c>
    </row>
    <row r="137" spans="1:13" x14ac:dyDescent="0.25">
      <c r="A137" s="1">
        <v>91</v>
      </c>
      <c r="B137" s="47">
        <v>45756</v>
      </c>
      <c r="C137" s="66">
        <v>43441328</v>
      </c>
      <c r="D137" s="156">
        <v>85.3</v>
      </c>
      <c r="E137" s="5">
        <v>17.193999999999999</v>
      </c>
      <c r="F137" s="5">
        <v>17.555</v>
      </c>
      <c r="G137" s="5">
        <f>F137-E137</f>
        <v>0.36100000000000065</v>
      </c>
      <c r="H137" s="16">
        <f t="shared" si="14"/>
        <v>0.31038780000000055</v>
      </c>
      <c r="I137" s="16"/>
      <c r="J137" s="16">
        <f>D137/($E$18-$E$19)*$J$17</f>
        <v>0.13246401775061895</v>
      </c>
      <c r="K137" s="19">
        <f t="shared" si="13"/>
        <v>0.44285181775061949</v>
      </c>
      <c r="M137" s="13" t="s">
        <v>69</v>
      </c>
    </row>
    <row r="138" spans="1:13" x14ac:dyDescent="0.25">
      <c r="A138" s="1">
        <v>92</v>
      </c>
      <c r="B138" s="47">
        <v>45900</v>
      </c>
      <c r="C138" s="66">
        <v>43441331</v>
      </c>
      <c r="D138" s="156">
        <v>58.5</v>
      </c>
      <c r="E138" s="5">
        <v>41.923999999999999</v>
      </c>
      <c r="F138" s="5">
        <v>42.601999999999997</v>
      </c>
      <c r="G138" s="5">
        <f>F138-E138</f>
        <v>0.67799999999999727</v>
      </c>
      <c r="H138" s="16">
        <f t="shared" si="14"/>
        <v>0.5829443999999977</v>
      </c>
      <c r="I138" s="16"/>
      <c r="J138" s="16">
        <f>D138/($E$18-$E$19)*$J$17</f>
        <v>9.0845780051714051E-2</v>
      </c>
      <c r="K138" s="19">
        <f t="shared" si="13"/>
        <v>0.67379018005171176</v>
      </c>
      <c r="M138" s="13" t="s">
        <v>69</v>
      </c>
    </row>
    <row r="139" spans="1:13" x14ac:dyDescent="0.25">
      <c r="A139" s="1">
        <v>93</v>
      </c>
      <c r="B139" s="47">
        <v>45912</v>
      </c>
      <c r="C139" s="66">
        <v>34242164</v>
      </c>
      <c r="D139" s="156">
        <v>59.3</v>
      </c>
      <c r="E139" s="5">
        <v>22.623000000000001</v>
      </c>
      <c r="F139" s="5">
        <v>22.623000000000001</v>
      </c>
      <c r="G139" s="5">
        <f>F139-E139</f>
        <v>0</v>
      </c>
      <c r="H139" s="16">
        <f t="shared" si="14"/>
        <v>0</v>
      </c>
      <c r="I139" s="16"/>
      <c r="J139" s="16">
        <f>D139/($E$18-$E$19)*$J$17</f>
        <v>9.208811550541271E-2</v>
      </c>
      <c r="K139" s="19">
        <f t="shared" si="13"/>
        <v>9.208811550541271E-2</v>
      </c>
      <c r="M139" s="13" t="s">
        <v>69</v>
      </c>
    </row>
    <row r="140" spans="1:13" x14ac:dyDescent="0.25">
      <c r="A140" s="1">
        <v>94</v>
      </c>
      <c r="B140" s="47">
        <v>46052</v>
      </c>
      <c r="C140" s="66">
        <v>34242158</v>
      </c>
      <c r="D140" s="156">
        <v>76.8</v>
      </c>
      <c r="E140" s="5">
        <v>34.832000000000001</v>
      </c>
      <c r="F140" s="5">
        <v>35.448999999999998</v>
      </c>
      <c r="G140" s="5">
        <f>F140-E140</f>
        <v>0.61699999999999733</v>
      </c>
      <c r="H140" s="16">
        <f>G140*0.8598</f>
        <v>0.53049659999999765</v>
      </c>
      <c r="I140" s="16"/>
      <c r="J140" s="16">
        <f>D140/($E$18-$E$19)*$J$17</f>
        <v>0.11926420355507075</v>
      </c>
      <c r="K140" s="19">
        <f t="shared" si="13"/>
        <v>0.64976080355506838</v>
      </c>
      <c r="M140" s="13" t="s">
        <v>69</v>
      </c>
    </row>
    <row r="141" spans="1:13" x14ac:dyDescent="0.25">
      <c r="A141" s="1">
        <v>95</v>
      </c>
      <c r="B141" s="33"/>
      <c r="C141" s="66">
        <v>34242124</v>
      </c>
      <c r="D141" s="156">
        <v>85.2</v>
      </c>
      <c r="E141" s="5">
        <v>56.506</v>
      </c>
      <c r="F141" s="5">
        <v>57.387</v>
      </c>
      <c r="G141" s="5"/>
      <c r="H141" s="16">
        <f t="shared" si="14"/>
        <v>0</v>
      </c>
      <c r="I141" s="16">
        <f>(((D141*0.015)*12)/7)</f>
        <v>2.1908571428571428</v>
      </c>
      <c r="J141" s="16"/>
      <c r="K141" s="19">
        <f t="shared" si="13"/>
        <v>2.1908571428571428</v>
      </c>
      <c r="M141" s="13" t="s">
        <v>71</v>
      </c>
    </row>
    <row r="142" spans="1:13" x14ac:dyDescent="0.25">
      <c r="A142" s="1">
        <v>96</v>
      </c>
      <c r="B142" s="47">
        <v>45767</v>
      </c>
      <c r="C142" s="66">
        <v>34242122</v>
      </c>
      <c r="D142" s="156">
        <v>58.1</v>
      </c>
      <c r="E142" s="5">
        <v>25.51</v>
      </c>
      <c r="F142" s="5">
        <v>25.702999999999999</v>
      </c>
      <c r="G142" s="5">
        <f>F142-E142</f>
        <v>0.19299999999999784</v>
      </c>
      <c r="H142" s="16">
        <f>G142*0.8598</f>
        <v>0.16594139999999816</v>
      </c>
      <c r="I142" s="16"/>
      <c r="J142" s="16">
        <f t="shared" ref="J142:J150" si="16">D142/($E$18-$E$19)*$J$17</f>
        <v>9.0224612324864728E-2</v>
      </c>
      <c r="K142" s="19">
        <f t="shared" si="13"/>
        <v>0.25616601232486291</v>
      </c>
      <c r="M142" s="13" t="s">
        <v>69</v>
      </c>
    </row>
    <row r="143" spans="1:13" x14ac:dyDescent="0.25">
      <c r="A143" s="1">
        <v>97</v>
      </c>
      <c r="B143" s="47">
        <v>46266</v>
      </c>
      <c r="C143" s="66" t="s">
        <v>146</v>
      </c>
      <c r="D143" s="156">
        <v>57.5</v>
      </c>
      <c r="E143" s="5">
        <v>0.38800000000000001</v>
      </c>
      <c r="F143" s="5">
        <v>1.034</v>
      </c>
      <c r="G143" s="5"/>
      <c r="H143" s="16">
        <f>F143-E143</f>
        <v>0.64600000000000002</v>
      </c>
      <c r="I143" s="16"/>
      <c r="J143" s="16">
        <f t="shared" si="16"/>
        <v>8.9292860734590723E-2</v>
      </c>
      <c r="K143" s="19">
        <f t="shared" si="13"/>
        <v>0.73529286073459077</v>
      </c>
      <c r="M143" s="13" t="s">
        <v>69</v>
      </c>
    </row>
    <row r="144" spans="1:13" x14ac:dyDescent="0.25">
      <c r="A144" s="1">
        <v>98</v>
      </c>
      <c r="B144" s="47">
        <v>45459</v>
      </c>
      <c r="C144" s="66" t="s">
        <v>134</v>
      </c>
      <c r="D144" s="156">
        <v>77</v>
      </c>
      <c r="E144" s="39">
        <v>4.8239999999999998</v>
      </c>
      <c r="F144" s="39">
        <v>5.5439999999999996</v>
      </c>
      <c r="G144" s="5"/>
      <c r="H144" s="16">
        <f>F144-E144</f>
        <v>0.71999999999999975</v>
      </c>
      <c r="I144" s="16"/>
      <c r="J144" s="16">
        <f t="shared" si="16"/>
        <v>0.11957478741849541</v>
      </c>
      <c r="K144" s="19">
        <f t="shared" si="13"/>
        <v>0.83957478741849512</v>
      </c>
      <c r="M144" s="13" t="s">
        <v>69</v>
      </c>
    </row>
    <row r="145" spans="1:13" x14ac:dyDescent="0.25">
      <c r="A145" s="1">
        <v>99</v>
      </c>
      <c r="B145" s="47">
        <v>45767</v>
      </c>
      <c r="C145" s="66">
        <v>34242441</v>
      </c>
      <c r="D145" s="156">
        <v>85.4</v>
      </c>
      <c r="E145" s="5">
        <v>13.664</v>
      </c>
      <c r="F145" s="5">
        <v>13.664</v>
      </c>
      <c r="G145" s="5">
        <f>F145-E145</f>
        <v>0</v>
      </c>
      <c r="H145" s="16">
        <f t="shared" ref="H145:H146" si="17">G145*0.8598</f>
        <v>0</v>
      </c>
      <c r="I145" s="16"/>
      <c r="J145" s="16">
        <f t="shared" si="16"/>
        <v>0.13261930968233129</v>
      </c>
      <c r="K145" s="19">
        <f t="shared" si="13"/>
        <v>0.13261930968233129</v>
      </c>
      <c r="M145" s="13" t="s">
        <v>69</v>
      </c>
    </row>
    <row r="146" spans="1:13" x14ac:dyDescent="0.25">
      <c r="A146" s="1">
        <v>100</v>
      </c>
      <c r="B146" s="47">
        <v>45585</v>
      </c>
      <c r="C146" s="66">
        <v>34242395</v>
      </c>
      <c r="D146" s="156">
        <v>58.2</v>
      </c>
      <c r="E146" s="5">
        <v>28.568999999999999</v>
      </c>
      <c r="F146" s="5">
        <v>28.568999999999999</v>
      </c>
      <c r="G146" s="5">
        <f>F146-E146</f>
        <v>0</v>
      </c>
      <c r="H146" s="16">
        <f t="shared" si="17"/>
        <v>0</v>
      </c>
      <c r="I146" s="16"/>
      <c r="J146" s="16">
        <f t="shared" si="16"/>
        <v>9.0379904256577062E-2</v>
      </c>
      <c r="K146" s="19">
        <f t="shared" si="13"/>
        <v>9.0379904256577062E-2</v>
      </c>
      <c r="M146" s="13" t="s">
        <v>69</v>
      </c>
    </row>
    <row r="147" spans="1:13" x14ac:dyDescent="0.25">
      <c r="A147" s="1">
        <v>101</v>
      </c>
      <c r="B147" s="47">
        <v>45459</v>
      </c>
      <c r="C147" s="10" t="s">
        <v>96</v>
      </c>
      <c r="D147" s="156">
        <v>59</v>
      </c>
      <c r="E147" s="39">
        <v>0.14299999999999999</v>
      </c>
      <c r="F147" s="39">
        <v>0.14299999999999999</v>
      </c>
      <c r="G147" s="5"/>
      <c r="H147" s="16">
        <f>F147-E147</f>
        <v>0</v>
      </c>
      <c r="I147" s="16"/>
      <c r="J147" s="16">
        <f t="shared" si="16"/>
        <v>9.1622239710275707E-2</v>
      </c>
      <c r="K147" s="19">
        <f t="shared" si="13"/>
        <v>9.1622239710275707E-2</v>
      </c>
      <c r="M147" s="13" t="s">
        <v>69</v>
      </c>
    </row>
    <row r="148" spans="1:13" x14ac:dyDescent="0.25">
      <c r="A148" s="1">
        <v>102</v>
      </c>
      <c r="B148" s="47">
        <v>45809</v>
      </c>
      <c r="C148" s="66">
        <v>34242123</v>
      </c>
      <c r="D148" s="156">
        <v>77.599999999999994</v>
      </c>
      <c r="E148" s="5">
        <v>19.079000000000001</v>
      </c>
      <c r="F148" s="5">
        <v>19.079000000000001</v>
      </c>
      <c r="G148" s="5">
        <f>F148-E148</f>
        <v>0</v>
      </c>
      <c r="H148" s="16">
        <f>G148*0.8598</f>
        <v>0</v>
      </c>
      <c r="I148" s="16">
        <f>$H$180/$D$180*D148</f>
        <v>0.30211928516017827</v>
      </c>
      <c r="J148" s="16">
        <f t="shared" si="16"/>
        <v>0.1205065390087694</v>
      </c>
      <c r="K148" s="19">
        <f t="shared" si="13"/>
        <v>0.42262582416894767</v>
      </c>
      <c r="M148" s="13" t="s">
        <v>69</v>
      </c>
    </row>
    <row r="149" spans="1:13" x14ac:dyDescent="0.25">
      <c r="A149" s="1">
        <v>103</v>
      </c>
      <c r="B149" s="47">
        <v>45327</v>
      </c>
      <c r="C149" s="10" t="s">
        <v>97</v>
      </c>
      <c r="D149" s="156">
        <v>85.4</v>
      </c>
      <c r="E149" s="5">
        <v>11.821</v>
      </c>
      <c r="F149" s="5">
        <v>11.821</v>
      </c>
      <c r="G149" s="5"/>
      <c r="H149" s="16">
        <f>F149-E149</f>
        <v>0</v>
      </c>
      <c r="I149" s="16">
        <f>$H$180/$D$180*D149</f>
        <v>0.33248694526648492</v>
      </c>
      <c r="J149" s="16">
        <f t="shared" si="16"/>
        <v>0.13261930968233129</v>
      </c>
      <c r="K149" s="19">
        <f>H149+I149+J149</f>
        <v>0.46510625494881619</v>
      </c>
      <c r="M149" s="13" t="s">
        <v>69</v>
      </c>
    </row>
    <row r="150" spans="1:13" x14ac:dyDescent="0.25">
      <c r="A150" s="1">
        <v>104</v>
      </c>
      <c r="B150" s="47">
        <v>45951</v>
      </c>
      <c r="C150" s="66">
        <v>43242242</v>
      </c>
      <c r="D150" s="156">
        <v>58.8</v>
      </c>
      <c r="E150" s="5">
        <v>43.646000000000001</v>
      </c>
      <c r="F150" s="5">
        <v>44.011000000000003</v>
      </c>
      <c r="G150" s="5">
        <f>F150-E150</f>
        <v>0.36500000000000199</v>
      </c>
      <c r="H150" s="16">
        <f>G150*0.8598</f>
        <v>0.31382700000000169</v>
      </c>
      <c r="I150" s="16"/>
      <c r="J150" s="16">
        <f t="shared" si="16"/>
        <v>9.1311655846851053E-2</v>
      </c>
      <c r="K150" s="19">
        <f t="shared" si="13"/>
        <v>0.40513865584685271</v>
      </c>
      <c r="M150" s="13" t="s">
        <v>69</v>
      </c>
    </row>
    <row r="151" spans="1:13" x14ac:dyDescent="0.25">
      <c r="A151" s="1">
        <v>105</v>
      </c>
      <c r="B151" s="34"/>
      <c r="C151" s="66">
        <v>34242113</v>
      </c>
      <c r="D151" s="156">
        <v>59.2</v>
      </c>
      <c r="E151" s="5">
        <v>31.309000000000001</v>
      </c>
      <c r="F151" s="5">
        <v>31.309000000000001</v>
      </c>
      <c r="G151" s="5"/>
      <c r="H151" s="16">
        <f t="shared" si="14"/>
        <v>0</v>
      </c>
      <c r="I151" s="16">
        <f>(((D151*0.015)*12)/7)</f>
        <v>1.5222857142857145</v>
      </c>
      <c r="J151" s="16"/>
      <c r="K151" s="19">
        <f t="shared" si="13"/>
        <v>1.5222857142857145</v>
      </c>
      <c r="M151" s="13" t="s">
        <v>71</v>
      </c>
    </row>
    <row r="152" spans="1:13" x14ac:dyDescent="0.25">
      <c r="A152" s="1">
        <v>106</v>
      </c>
      <c r="B152" s="47">
        <v>45703</v>
      </c>
      <c r="C152" s="67">
        <v>34242119</v>
      </c>
      <c r="D152" s="156">
        <v>76.8</v>
      </c>
      <c r="E152" s="5">
        <v>54.767000000000003</v>
      </c>
      <c r="F152" s="5">
        <v>55.639000000000003</v>
      </c>
      <c r="G152" s="5">
        <f>F152-E152</f>
        <v>0.87199999999999989</v>
      </c>
      <c r="H152" s="16">
        <f>G152*0.8598</f>
        <v>0.7497455999999999</v>
      </c>
      <c r="I152" s="16"/>
      <c r="J152" s="16">
        <f>D152/($E$18-$E$19)*$J$17</f>
        <v>0.11926420355507075</v>
      </c>
      <c r="K152" s="19">
        <f t="shared" si="13"/>
        <v>0.86900980355507063</v>
      </c>
      <c r="L152" s="24"/>
      <c r="M152" s="13" t="s">
        <v>69</v>
      </c>
    </row>
    <row r="153" spans="1:13" x14ac:dyDescent="0.25">
      <c r="A153" s="1">
        <v>107</v>
      </c>
      <c r="B153" s="33"/>
      <c r="C153" s="66">
        <v>34242112</v>
      </c>
      <c r="D153" s="156">
        <v>85.1</v>
      </c>
      <c r="E153" s="5">
        <v>49.726999999999997</v>
      </c>
      <c r="F153" s="5">
        <v>50.433999999999997</v>
      </c>
      <c r="G153" s="5"/>
      <c r="H153" s="16">
        <f t="shared" si="14"/>
        <v>0</v>
      </c>
      <c r="I153" s="16">
        <f>(((D153*0.015)*12)/7)</f>
        <v>2.1882857142857142</v>
      </c>
      <c r="J153" s="16"/>
      <c r="K153" s="19">
        <f t="shared" si="13"/>
        <v>2.1882857142857142</v>
      </c>
      <c r="M153" s="13" t="s">
        <v>71</v>
      </c>
    </row>
    <row r="154" spans="1:13" x14ac:dyDescent="0.25">
      <c r="A154" s="1">
        <v>108</v>
      </c>
      <c r="B154" s="47">
        <v>45718</v>
      </c>
      <c r="C154" s="66">
        <v>34242115</v>
      </c>
      <c r="D154" s="156">
        <v>58.5</v>
      </c>
      <c r="E154" s="5">
        <v>17.143000000000001</v>
      </c>
      <c r="F154" s="5">
        <v>17.402999999999999</v>
      </c>
      <c r="G154" s="5">
        <f>F154-E154</f>
        <v>0.25999999999999801</v>
      </c>
      <c r="H154" s="16">
        <f t="shared" si="14"/>
        <v>0.2235479999999983</v>
      </c>
      <c r="I154" s="16"/>
      <c r="J154" s="16">
        <f t="shared" ref="J154:J166" si="18">D154/($E$18-$E$19)*$J$17</f>
        <v>9.0845780051714051E-2</v>
      </c>
      <c r="K154" s="19">
        <f t="shared" si="13"/>
        <v>0.31439378005171237</v>
      </c>
      <c r="L154" s="24"/>
      <c r="M154" s="13" t="s">
        <v>69</v>
      </c>
    </row>
    <row r="155" spans="1:13" x14ac:dyDescent="0.25">
      <c r="A155" s="1">
        <v>109</v>
      </c>
      <c r="B155" s="47">
        <v>45641</v>
      </c>
      <c r="C155" s="66">
        <v>34242118</v>
      </c>
      <c r="D155" s="156">
        <v>59.1</v>
      </c>
      <c r="E155" s="5">
        <v>43.572000000000003</v>
      </c>
      <c r="F155" s="5">
        <v>44.58</v>
      </c>
      <c r="G155" s="5">
        <f>F155-E155</f>
        <v>1.0079999999999956</v>
      </c>
      <c r="H155" s="16">
        <f t="shared" si="14"/>
        <v>0.86667839999999619</v>
      </c>
      <c r="I155" s="16"/>
      <c r="J155" s="16">
        <f t="shared" si="18"/>
        <v>9.1777531641988042E-2</v>
      </c>
      <c r="K155" s="19">
        <f t="shared" si="13"/>
        <v>0.95845593164198428</v>
      </c>
      <c r="M155" s="13" t="s">
        <v>69</v>
      </c>
    </row>
    <row r="156" spans="1:13" x14ac:dyDescent="0.25">
      <c r="A156" s="1">
        <v>110</v>
      </c>
      <c r="B156" s="47">
        <v>45955</v>
      </c>
      <c r="C156" s="66" t="s">
        <v>111</v>
      </c>
      <c r="D156" s="156">
        <v>77.099999999999994</v>
      </c>
      <c r="E156" s="39">
        <v>2.5013000000000001</v>
      </c>
      <c r="F156" s="39">
        <v>2.7759999999999998</v>
      </c>
      <c r="G156" s="5"/>
      <c r="H156" s="16">
        <f t="shared" ref="H156:H157" si="19">F156-E156</f>
        <v>0.27469999999999972</v>
      </c>
      <c r="I156" s="16"/>
      <c r="J156" s="16">
        <f t="shared" si="18"/>
        <v>0.11973007935020774</v>
      </c>
      <c r="K156" s="19">
        <f t="shared" si="13"/>
        <v>0.39443007935020746</v>
      </c>
      <c r="M156" s="13" t="s">
        <v>69</v>
      </c>
    </row>
    <row r="157" spans="1:13" x14ac:dyDescent="0.25">
      <c r="A157" s="1">
        <v>111</v>
      </c>
      <c r="B157" s="47">
        <v>45327</v>
      </c>
      <c r="C157" s="10" t="s">
        <v>58</v>
      </c>
      <c r="D157" s="156">
        <v>85.1</v>
      </c>
      <c r="E157" s="39">
        <v>9.1449999999999996</v>
      </c>
      <c r="F157" s="39">
        <v>9.5820000000000007</v>
      </c>
      <c r="G157" s="39"/>
      <c r="H157" s="16">
        <f t="shared" si="19"/>
        <v>0.43700000000000117</v>
      </c>
      <c r="I157" s="16"/>
      <c r="J157" s="16">
        <f t="shared" si="18"/>
        <v>0.13215343388719428</v>
      </c>
      <c r="K157" s="19">
        <f t="shared" si="13"/>
        <v>0.56915343388719541</v>
      </c>
      <c r="M157" s="13" t="s">
        <v>69</v>
      </c>
    </row>
    <row r="158" spans="1:13" x14ac:dyDescent="0.25">
      <c r="A158" s="1">
        <v>112</v>
      </c>
      <c r="B158" s="47">
        <v>45622</v>
      </c>
      <c r="C158" s="66">
        <v>34242117</v>
      </c>
      <c r="D158" s="156">
        <v>57.5</v>
      </c>
      <c r="E158" s="5">
        <v>21.962</v>
      </c>
      <c r="F158" s="5">
        <v>22.135999999999999</v>
      </c>
      <c r="G158" s="5">
        <f t="shared" ref="G158:G166" si="20">F158-E158</f>
        <v>0.17399999999999949</v>
      </c>
      <c r="H158" s="16">
        <f t="shared" ref="H158:H189" si="21">G158*0.8598</f>
        <v>0.14960519999999955</v>
      </c>
      <c r="I158" s="16"/>
      <c r="J158" s="16">
        <f t="shared" si="18"/>
        <v>8.9292860734590723E-2</v>
      </c>
      <c r="K158" s="19">
        <f t="shared" si="13"/>
        <v>0.23889806073459027</v>
      </c>
      <c r="M158" s="13" t="s">
        <v>69</v>
      </c>
    </row>
    <row r="159" spans="1:13" x14ac:dyDescent="0.25">
      <c r="A159" s="1">
        <v>113</v>
      </c>
      <c r="B159" s="47">
        <v>45957</v>
      </c>
      <c r="C159" s="66">
        <v>34242125</v>
      </c>
      <c r="D159" s="156">
        <v>58.9</v>
      </c>
      <c r="E159" s="5">
        <v>23.5</v>
      </c>
      <c r="F159" s="5">
        <v>23.849</v>
      </c>
      <c r="G159" s="5">
        <f t="shared" si="20"/>
        <v>0.3490000000000002</v>
      </c>
      <c r="H159" s="16">
        <f t="shared" si="21"/>
        <v>0.30007020000000018</v>
      </c>
      <c r="I159" s="16"/>
      <c r="J159" s="16">
        <f t="shared" si="18"/>
        <v>9.1466947778563373E-2</v>
      </c>
      <c r="K159" s="19">
        <f t="shared" si="13"/>
        <v>0.39153714777856352</v>
      </c>
      <c r="M159" s="13" t="s">
        <v>69</v>
      </c>
    </row>
    <row r="160" spans="1:13" x14ac:dyDescent="0.25">
      <c r="A160" s="1">
        <v>114</v>
      </c>
      <c r="B160" s="48">
        <v>45875</v>
      </c>
      <c r="C160" s="66">
        <v>34242154</v>
      </c>
      <c r="D160" s="156">
        <v>77.099999999999994</v>
      </c>
      <c r="E160" s="5">
        <v>7.3129999999999997</v>
      </c>
      <c r="F160" s="5">
        <v>8.5760000000000005</v>
      </c>
      <c r="G160" s="5">
        <f t="shared" si="20"/>
        <v>1.2630000000000008</v>
      </c>
      <c r="H160" s="16">
        <f t="shared" si="21"/>
        <v>1.0859274000000008</v>
      </c>
      <c r="I160" s="16"/>
      <c r="J160" s="16">
        <f t="shared" si="18"/>
        <v>0.11973007935020774</v>
      </c>
      <c r="K160" s="19">
        <f t="shared" si="13"/>
        <v>1.2056574793502084</v>
      </c>
      <c r="M160" s="13" t="s">
        <v>69</v>
      </c>
    </row>
    <row r="161" spans="1:16" x14ac:dyDescent="0.25">
      <c r="A161" s="1">
        <v>115</v>
      </c>
      <c r="B161" s="47">
        <v>45912</v>
      </c>
      <c r="C161" s="66">
        <v>34242149</v>
      </c>
      <c r="D161" s="156">
        <v>85.3</v>
      </c>
      <c r="E161" s="5">
        <v>36.180999999999997</v>
      </c>
      <c r="F161" s="5">
        <v>37.158999999999999</v>
      </c>
      <c r="G161" s="5">
        <f t="shared" si="20"/>
        <v>0.97800000000000153</v>
      </c>
      <c r="H161" s="16">
        <f t="shared" si="21"/>
        <v>0.84088440000000131</v>
      </c>
      <c r="I161" s="16"/>
      <c r="J161" s="16">
        <f t="shared" si="18"/>
        <v>0.13246401775061895</v>
      </c>
      <c r="K161" s="19">
        <f t="shared" si="13"/>
        <v>0.9733484177506202</v>
      </c>
      <c r="M161" s="13" t="s">
        <v>69</v>
      </c>
    </row>
    <row r="162" spans="1:16" x14ac:dyDescent="0.25">
      <c r="A162" s="1">
        <v>116</v>
      </c>
      <c r="B162" s="47">
        <v>46112</v>
      </c>
      <c r="C162" s="66">
        <v>34242157</v>
      </c>
      <c r="D162" s="156">
        <v>59.6</v>
      </c>
      <c r="E162" s="5">
        <v>26.870999999999999</v>
      </c>
      <c r="F162" s="5">
        <v>27.286000000000001</v>
      </c>
      <c r="G162" s="5">
        <f t="shared" si="20"/>
        <v>0.4150000000000027</v>
      </c>
      <c r="H162" s="16">
        <f t="shared" si="21"/>
        <v>0.35681700000000233</v>
      </c>
      <c r="I162" s="16"/>
      <c r="J162" s="16">
        <f t="shared" si="18"/>
        <v>9.2553991300549698E-2</v>
      </c>
      <c r="K162" s="19">
        <f t="shared" si="13"/>
        <v>0.44937099130055203</v>
      </c>
      <c r="M162" s="13" t="s">
        <v>69</v>
      </c>
    </row>
    <row r="163" spans="1:16" x14ac:dyDescent="0.25">
      <c r="A163" s="1">
        <v>117</v>
      </c>
      <c r="B163" s="47">
        <v>45732</v>
      </c>
      <c r="C163" s="66">
        <v>41341239</v>
      </c>
      <c r="D163" s="156">
        <v>59</v>
      </c>
      <c r="E163" s="5">
        <v>13.278</v>
      </c>
      <c r="F163" s="5">
        <v>13.278</v>
      </c>
      <c r="G163" s="5">
        <f t="shared" si="20"/>
        <v>0</v>
      </c>
      <c r="H163" s="16">
        <f t="shared" si="21"/>
        <v>0</v>
      </c>
      <c r="I163" s="16"/>
      <c r="J163" s="16">
        <f t="shared" si="18"/>
        <v>9.1622239710275707E-2</v>
      </c>
      <c r="K163" s="19">
        <f t="shared" si="13"/>
        <v>9.1622239710275707E-2</v>
      </c>
      <c r="M163" s="13" t="s">
        <v>69</v>
      </c>
    </row>
    <row r="164" spans="1:16" x14ac:dyDescent="0.25">
      <c r="A164" s="1">
        <v>118</v>
      </c>
      <c r="B164" s="47">
        <v>45718</v>
      </c>
      <c r="C164" s="66">
        <v>34242156</v>
      </c>
      <c r="D164" s="156">
        <v>78</v>
      </c>
      <c r="E164" s="5">
        <v>11.022</v>
      </c>
      <c r="F164" s="5">
        <v>11.231</v>
      </c>
      <c r="G164" s="5">
        <f t="shared" si="20"/>
        <v>0.20899999999999963</v>
      </c>
      <c r="H164" s="16">
        <f t="shared" si="21"/>
        <v>0.1796981999999997</v>
      </c>
      <c r="I164" s="16"/>
      <c r="J164" s="16">
        <f t="shared" si="18"/>
        <v>0.12112770673561873</v>
      </c>
      <c r="K164" s="19">
        <f t="shared" si="13"/>
        <v>0.30082590673561843</v>
      </c>
      <c r="M164" s="13" t="s">
        <v>69</v>
      </c>
    </row>
    <row r="165" spans="1:16" x14ac:dyDescent="0.25">
      <c r="A165" s="1">
        <v>119</v>
      </c>
      <c r="B165" s="47">
        <v>45755</v>
      </c>
      <c r="C165" s="66">
        <v>34242162</v>
      </c>
      <c r="D165" s="156">
        <v>85.5</v>
      </c>
      <c r="E165" s="5">
        <v>33.959000000000003</v>
      </c>
      <c r="F165" s="5">
        <v>33.959000000000003</v>
      </c>
      <c r="G165" s="5">
        <f t="shared" si="20"/>
        <v>0</v>
      </c>
      <c r="H165" s="16">
        <f t="shared" si="21"/>
        <v>0</v>
      </c>
      <c r="I165" s="16"/>
      <c r="J165" s="16">
        <f t="shared" si="18"/>
        <v>0.13277460161404361</v>
      </c>
      <c r="K165" s="19">
        <f t="shared" si="13"/>
        <v>0.13277460161404361</v>
      </c>
      <c r="M165" s="13" t="s">
        <v>69</v>
      </c>
    </row>
    <row r="166" spans="1:16" x14ac:dyDescent="0.25">
      <c r="A166" s="1">
        <v>120</v>
      </c>
      <c r="B166" s="47">
        <v>45922</v>
      </c>
      <c r="C166" s="66">
        <v>20140179</v>
      </c>
      <c r="D166" s="156">
        <v>58.9</v>
      </c>
      <c r="E166" s="5">
        <v>32.384999999999998</v>
      </c>
      <c r="F166" s="5">
        <v>32.892000000000003</v>
      </c>
      <c r="G166" s="5">
        <f t="shared" si="20"/>
        <v>0.507000000000005</v>
      </c>
      <c r="H166" s="16">
        <f t="shared" si="21"/>
        <v>0.43591860000000432</v>
      </c>
      <c r="I166" s="16"/>
      <c r="J166" s="16">
        <f t="shared" si="18"/>
        <v>9.1466947778563373E-2</v>
      </c>
      <c r="K166" s="19">
        <f t="shared" si="13"/>
        <v>0.52738554777856772</v>
      </c>
      <c r="M166" s="13" t="s">
        <v>69</v>
      </c>
    </row>
    <row r="167" spans="1:16" x14ac:dyDescent="0.25">
      <c r="A167" s="1">
        <v>121</v>
      </c>
      <c r="B167" s="33"/>
      <c r="C167" s="66">
        <v>34242161</v>
      </c>
      <c r="D167" s="156">
        <v>59.2</v>
      </c>
      <c r="E167" s="5">
        <v>36.868000000000002</v>
      </c>
      <c r="F167" s="5">
        <v>37.551000000000002</v>
      </c>
      <c r="G167" s="5"/>
      <c r="H167" s="16">
        <f t="shared" si="21"/>
        <v>0</v>
      </c>
      <c r="I167" s="16">
        <f t="shared" ref="I167:I168" si="22">(((D167*0.015)*12)/7)</f>
        <v>1.5222857142857145</v>
      </c>
      <c r="J167" s="16"/>
      <c r="K167" s="19">
        <f t="shared" si="13"/>
        <v>1.5222857142857145</v>
      </c>
      <c r="M167" s="13" t="s">
        <v>71</v>
      </c>
    </row>
    <row r="168" spans="1:16" x14ac:dyDescent="0.25">
      <c r="A168" s="1">
        <v>122</v>
      </c>
      <c r="B168" s="34"/>
      <c r="C168" s="66">
        <v>34242151</v>
      </c>
      <c r="D168" s="156">
        <v>78.099999999999994</v>
      </c>
      <c r="E168" s="5">
        <v>33.633000000000003</v>
      </c>
      <c r="F168" s="5">
        <v>34.637999999999998</v>
      </c>
      <c r="G168" s="5"/>
      <c r="H168" s="16">
        <f t="shared" si="21"/>
        <v>0</v>
      </c>
      <c r="I168" s="16">
        <f t="shared" si="22"/>
        <v>2.0082857142857136</v>
      </c>
      <c r="J168" s="16"/>
      <c r="K168" s="19">
        <f t="shared" si="13"/>
        <v>2.0082857142857136</v>
      </c>
      <c r="M168" s="13" t="s">
        <v>71</v>
      </c>
    </row>
    <row r="169" spans="1:16" x14ac:dyDescent="0.25">
      <c r="A169" s="1">
        <v>123</v>
      </c>
      <c r="B169" s="47">
        <v>45748</v>
      </c>
      <c r="C169" s="66">
        <v>34242148</v>
      </c>
      <c r="D169" s="156">
        <v>85.2</v>
      </c>
      <c r="E169" s="5">
        <v>15.585000000000001</v>
      </c>
      <c r="F169" s="5">
        <v>15.837999999999999</v>
      </c>
      <c r="G169" s="5">
        <f>F169-E169</f>
        <v>0.25299999999999834</v>
      </c>
      <c r="H169" s="16">
        <f t="shared" si="21"/>
        <v>0.21752939999999857</v>
      </c>
      <c r="I169" s="16"/>
      <c r="J169" s="16">
        <f>D169/($E$18-$E$19)*$J$17</f>
        <v>0.13230872581890663</v>
      </c>
      <c r="K169" s="19">
        <f t="shared" si="13"/>
        <v>0.34983812581890517</v>
      </c>
      <c r="M169" s="13" t="s">
        <v>69</v>
      </c>
    </row>
    <row r="170" spans="1:16" x14ac:dyDescent="0.25">
      <c r="A170" s="1">
        <v>124</v>
      </c>
      <c r="B170" s="47">
        <v>45747</v>
      </c>
      <c r="C170" s="66">
        <v>34242163</v>
      </c>
      <c r="D170" s="156">
        <v>59.3</v>
      </c>
      <c r="E170" s="5">
        <v>37.061999999999998</v>
      </c>
      <c r="F170" s="5">
        <v>37.703000000000003</v>
      </c>
      <c r="G170" s="5">
        <f>F170-E170</f>
        <v>0.64100000000000534</v>
      </c>
      <c r="H170" s="16">
        <f t="shared" si="21"/>
        <v>0.55113180000000461</v>
      </c>
      <c r="I170" s="16"/>
      <c r="J170" s="16">
        <f>D170/($E$18-$E$19)*$J$17</f>
        <v>9.208811550541271E-2</v>
      </c>
      <c r="K170" s="19">
        <f t="shared" si="13"/>
        <v>0.64321991550541735</v>
      </c>
      <c r="M170" s="13" t="s">
        <v>69</v>
      </c>
    </row>
    <row r="171" spans="1:16" x14ac:dyDescent="0.25">
      <c r="A171" s="1">
        <v>125</v>
      </c>
      <c r="B171" s="47">
        <v>45944</v>
      </c>
      <c r="C171" s="66">
        <v>34242153</v>
      </c>
      <c r="D171" s="156">
        <v>59.2</v>
      </c>
      <c r="E171" s="5">
        <v>44.552</v>
      </c>
      <c r="F171" s="5">
        <v>44.901000000000003</v>
      </c>
      <c r="G171" s="5">
        <f>F171-E171</f>
        <v>0.34900000000000375</v>
      </c>
      <c r="H171" s="16">
        <f t="shared" si="21"/>
        <v>0.30007020000000323</v>
      </c>
      <c r="I171" s="16"/>
      <c r="J171" s="16">
        <f>D171/($E$18-$E$19)*$J$17</f>
        <v>9.1932823573700376E-2</v>
      </c>
      <c r="K171" s="19">
        <f t="shared" si="13"/>
        <v>0.39200302357370359</v>
      </c>
      <c r="M171" s="13" t="s">
        <v>69</v>
      </c>
    </row>
    <row r="172" spans="1:16" x14ac:dyDescent="0.25">
      <c r="A172" s="1">
        <v>126</v>
      </c>
      <c r="B172" s="48">
        <v>45875</v>
      </c>
      <c r="C172" s="66">
        <v>20140213</v>
      </c>
      <c r="D172" s="156">
        <v>77.599999999999994</v>
      </c>
      <c r="E172" s="5">
        <v>6.8339999999999996</v>
      </c>
      <c r="F172" s="5">
        <v>6.8339999999999996</v>
      </c>
      <c r="G172" s="5">
        <f>F172-E172</f>
        <v>0</v>
      </c>
      <c r="H172" s="16">
        <f t="shared" si="21"/>
        <v>0</v>
      </c>
      <c r="I172" s="16"/>
      <c r="J172" s="16">
        <f>D172/($E$18-$E$19)*$J$17</f>
        <v>0.1205065390087694</v>
      </c>
      <c r="K172" s="19">
        <f t="shared" si="13"/>
        <v>0.1205065390087694</v>
      </c>
      <c r="M172" s="13" t="s">
        <v>69</v>
      </c>
    </row>
    <row r="173" spans="1:16" x14ac:dyDescent="0.25">
      <c r="A173" s="1">
        <v>127</v>
      </c>
      <c r="B173" s="33"/>
      <c r="C173" s="66">
        <v>34242152</v>
      </c>
      <c r="D173" s="156">
        <v>85.2</v>
      </c>
      <c r="E173" s="5">
        <v>83.248000000000005</v>
      </c>
      <c r="F173" s="5">
        <v>84.311000000000007</v>
      </c>
      <c r="G173" s="5"/>
      <c r="H173" s="16">
        <f t="shared" si="21"/>
        <v>0</v>
      </c>
      <c r="I173" s="16">
        <f>(((D173*0.015)*12)/7)</f>
        <v>2.1908571428571428</v>
      </c>
      <c r="J173" s="16"/>
      <c r="K173" s="19">
        <f t="shared" si="13"/>
        <v>2.1908571428571428</v>
      </c>
      <c r="M173" s="13" t="s">
        <v>71</v>
      </c>
    </row>
    <row r="174" spans="1:16" x14ac:dyDescent="0.25">
      <c r="A174" s="1">
        <v>128</v>
      </c>
      <c r="B174" s="47">
        <v>46165</v>
      </c>
      <c r="C174" s="66">
        <v>34242147</v>
      </c>
      <c r="D174" s="156">
        <v>58.9</v>
      </c>
      <c r="E174" s="5">
        <v>25.292999999999999</v>
      </c>
      <c r="F174" s="5">
        <v>25.759</v>
      </c>
      <c r="G174" s="5">
        <f>F174-E174</f>
        <v>0.46600000000000108</v>
      </c>
      <c r="H174" s="16">
        <f t="shared" si="21"/>
        <v>0.40066680000000093</v>
      </c>
      <c r="I174" s="16"/>
      <c r="J174" s="16">
        <f>D174/($E$18-$E$19)*$J$17</f>
        <v>9.1466947778563373E-2</v>
      </c>
      <c r="K174" s="19">
        <f t="shared" si="13"/>
        <v>0.49213374777856433</v>
      </c>
      <c r="M174" s="13" t="s">
        <v>69</v>
      </c>
    </row>
    <row r="175" spans="1:16" x14ac:dyDescent="0.25">
      <c r="A175" s="1">
        <v>129</v>
      </c>
      <c r="B175" s="47">
        <v>45984</v>
      </c>
      <c r="C175" s="66" t="s">
        <v>112</v>
      </c>
      <c r="D175" s="156">
        <v>58.6</v>
      </c>
      <c r="E175" s="39">
        <v>3.5550000000000002</v>
      </c>
      <c r="F175" s="39">
        <v>4.1879999999999997</v>
      </c>
      <c r="G175" s="5"/>
      <c r="H175" s="16">
        <f>F175-E175</f>
        <v>0.63299999999999956</v>
      </c>
      <c r="I175" s="16"/>
      <c r="J175" s="16">
        <f>D175/($E$18-$E$19)*$J$17</f>
        <v>9.1001071983426385E-2</v>
      </c>
      <c r="K175" s="19">
        <f t="shared" si="13"/>
        <v>0.724001071983426</v>
      </c>
      <c r="M175" s="13" t="s">
        <v>69</v>
      </c>
    </row>
    <row r="176" spans="1:16" x14ac:dyDescent="0.25">
      <c r="A176" s="42">
        <v>130</v>
      </c>
      <c r="B176" s="196">
        <v>45875</v>
      </c>
      <c r="C176" s="70">
        <v>34242150</v>
      </c>
      <c r="D176" s="163">
        <v>77.599999999999994</v>
      </c>
      <c r="E176" s="27">
        <v>6.798</v>
      </c>
      <c r="F176" s="27">
        <v>7.0449999999999999</v>
      </c>
      <c r="G176" s="27">
        <f>F176-E176</f>
        <v>0.24699999999999989</v>
      </c>
      <c r="H176" s="95">
        <f>G176*0.8598</f>
        <v>0.21237059999999991</v>
      </c>
      <c r="I176" s="95"/>
      <c r="J176" s="95">
        <f>D176/($E$18-$E$19)*$J$17</f>
        <v>0.1205065390087694</v>
      </c>
      <c r="K176" s="96">
        <f t="shared" si="13"/>
        <v>0.33287713900876931</v>
      </c>
      <c r="M176" s="13" t="s">
        <v>69</v>
      </c>
      <c r="O176" s="12"/>
      <c r="P176" s="12"/>
    </row>
    <row r="177" spans="1:16" x14ac:dyDescent="0.25">
      <c r="A177" s="1" t="s">
        <v>41</v>
      </c>
      <c r="B177" s="48"/>
      <c r="C177" s="66"/>
      <c r="D177" s="156">
        <v>109.8</v>
      </c>
      <c r="E177" s="5"/>
      <c r="F177" s="5"/>
      <c r="G177" s="5"/>
      <c r="H177" s="16"/>
      <c r="I177" s="16"/>
      <c r="J177" s="95">
        <f t="shared" ref="J177:J179" si="23">D177/($E$18-$E$19)*$J$17</f>
        <v>0.17051054102014024</v>
      </c>
      <c r="K177" s="16">
        <f t="shared" si="13"/>
        <v>0.17051054102014024</v>
      </c>
      <c r="M177" s="13"/>
      <c r="O177" s="12"/>
      <c r="P177" s="12"/>
    </row>
    <row r="178" spans="1:16" x14ac:dyDescent="0.25">
      <c r="A178" s="1" t="s">
        <v>42</v>
      </c>
      <c r="B178" s="48"/>
      <c r="C178" s="66"/>
      <c r="D178" s="156">
        <v>58.7</v>
      </c>
      <c r="E178" s="5"/>
      <c r="F178" s="5"/>
      <c r="G178" s="5"/>
      <c r="H178" s="16"/>
      <c r="I178" s="16"/>
      <c r="J178" s="95">
        <f t="shared" si="23"/>
        <v>9.1156363915138719E-2</v>
      </c>
      <c r="K178" s="16">
        <f t="shared" si="13"/>
        <v>9.1156363915138719E-2</v>
      </c>
      <c r="M178" s="13"/>
      <c r="O178" s="12"/>
      <c r="P178" s="12"/>
    </row>
    <row r="179" spans="1:16" ht="15.75" thickBot="1" x14ac:dyDescent="0.3">
      <c r="A179" s="15" t="s">
        <v>43</v>
      </c>
      <c r="B179" s="197"/>
      <c r="C179" s="68"/>
      <c r="D179" s="90">
        <v>89.1</v>
      </c>
      <c r="E179" s="8"/>
      <c r="F179" s="8"/>
      <c r="G179" s="8"/>
      <c r="H179" s="91"/>
      <c r="I179" s="91"/>
      <c r="J179" s="91">
        <f t="shared" si="23"/>
        <v>0.13836511115568756</v>
      </c>
      <c r="K179" s="199">
        <f t="shared" si="13"/>
        <v>0.13836511115568756</v>
      </c>
      <c r="M179" s="13"/>
      <c r="O179" s="12"/>
      <c r="P179" s="12"/>
    </row>
    <row r="180" spans="1:16" ht="15.75" thickBot="1" x14ac:dyDescent="0.3">
      <c r="A180" s="219" t="s">
        <v>75</v>
      </c>
      <c r="B180" s="220"/>
      <c r="C180" s="220"/>
      <c r="D180" s="92">
        <f>SUM(D121:D179)</f>
        <v>4176.5999999999995</v>
      </c>
      <c r="E180" s="221" t="s">
        <v>76</v>
      </c>
      <c r="F180" s="221"/>
      <c r="G180" s="221"/>
      <c r="H180" s="64">
        <f>SUM(H121:H176)</f>
        <v>16.260714000000007</v>
      </c>
      <c r="I180" s="64">
        <f>SUM(I121:I176)</f>
        <v>18.794034801855236</v>
      </c>
      <c r="J180" s="64">
        <f>SUM(J121:J179)</f>
        <v>5.3892511981447608</v>
      </c>
      <c r="K180" s="93">
        <f>SUM(K121:K179)</f>
        <v>40.443999999999996</v>
      </c>
      <c r="M180" s="13"/>
    </row>
    <row r="181" spans="1:16" x14ac:dyDescent="0.25">
      <c r="A181" s="9">
        <v>131</v>
      </c>
      <c r="B181" s="105">
        <v>45957</v>
      </c>
      <c r="C181" s="69" t="s">
        <v>113</v>
      </c>
      <c r="D181" s="155">
        <v>84.1</v>
      </c>
      <c r="E181" s="6">
        <v>6.8630000000000004</v>
      </c>
      <c r="F181" s="6">
        <v>7.5510000000000002</v>
      </c>
      <c r="G181" s="6"/>
      <c r="H181" s="19">
        <f>F181-E181</f>
        <v>0.68799999999999972</v>
      </c>
      <c r="I181" s="19"/>
      <c r="J181" s="19">
        <f>D181/($E$25-$E$26)*$J$24</f>
        <v>9.0781942026578161E-2</v>
      </c>
      <c r="K181" s="19">
        <f>H181+I181+J181</f>
        <v>0.77878194202657791</v>
      </c>
      <c r="M181" s="13" t="s">
        <v>69</v>
      </c>
      <c r="O181" s="12"/>
    </row>
    <row r="182" spans="1:16" x14ac:dyDescent="0.25">
      <c r="A182" s="1">
        <v>132</v>
      </c>
      <c r="B182" s="47">
        <v>45915</v>
      </c>
      <c r="C182" s="66">
        <v>43242256</v>
      </c>
      <c r="D182" s="156">
        <v>56.3</v>
      </c>
      <c r="E182" s="5">
        <v>31.318000000000001</v>
      </c>
      <c r="F182" s="5">
        <v>31.5</v>
      </c>
      <c r="G182" s="5">
        <f>F182-E182</f>
        <v>0.18199999999999861</v>
      </c>
      <c r="H182" s="16">
        <f t="shared" si="21"/>
        <v>0.15648359999999881</v>
      </c>
      <c r="I182" s="16"/>
      <c r="J182" s="16">
        <f t="shared" ref="J182:J216" si="24">D182/($E$25-$E$26)*$J$24</f>
        <v>6.0773166897697385E-2</v>
      </c>
      <c r="K182" s="19">
        <f t="shared" ref="K182:K236" si="25">H182+I182+J182</f>
        <v>0.21725676689769619</v>
      </c>
      <c r="M182" s="13" t="s">
        <v>69</v>
      </c>
    </row>
    <row r="183" spans="1:16" x14ac:dyDescent="0.25">
      <c r="A183" s="1">
        <v>133</v>
      </c>
      <c r="B183" s="47">
        <v>45719</v>
      </c>
      <c r="C183" s="66">
        <v>43242235</v>
      </c>
      <c r="D183" s="156">
        <v>56.1</v>
      </c>
      <c r="E183" s="5">
        <v>13.827999999999999</v>
      </c>
      <c r="F183" s="5">
        <v>13.827999999999999</v>
      </c>
      <c r="G183" s="5">
        <f>F183-E183</f>
        <v>0</v>
      </c>
      <c r="H183" s="16">
        <f t="shared" si="21"/>
        <v>0</v>
      </c>
      <c r="I183" s="16"/>
      <c r="J183" s="16">
        <f t="shared" si="24"/>
        <v>6.0557276429144283E-2</v>
      </c>
      <c r="K183" s="19">
        <f t="shared" si="25"/>
        <v>6.0557276429144283E-2</v>
      </c>
      <c r="M183" s="13" t="s">
        <v>69</v>
      </c>
    </row>
    <row r="184" spans="1:16" x14ac:dyDescent="0.25">
      <c r="A184" s="1">
        <v>134</v>
      </c>
      <c r="B184" s="47">
        <v>45825</v>
      </c>
      <c r="C184" s="66">
        <v>43242250</v>
      </c>
      <c r="D184" s="156">
        <v>85.2</v>
      </c>
      <c r="E184" s="5">
        <v>35.442</v>
      </c>
      <c r="F184" s="5">
        <v>35.659999999999997</v>
      </c>
      <c r="G184" s="5">
        <f>F184-E184</f>
        <v>0.21799999999999642</v>
      </c>
      <c r="H184" s="16">
        <f t="shared" si="21"/>
        <v>0.18743639999999692</v>
      </c>
      <c r="I184" s="16"/>
      <c r="J184" s="16">
        <f t="shared" si="24"/>
        <v>9.1969339603620207E-2</v>
      </c>
      <c r="K184" s="19">
        <f t="shared" si="25"/>
        <v>0.27940573960361714</v>
      </c>
      <c r="M184" s="13" t="s">
        <v>69</v>
      </c>
    </row>
    <row r="185" spans="1:16" x14ac:dyDescent="0.25">
      <c r="A185" s="1">
        <v>135</v>
      </c>
      <c r="B185" s="47">
        <v>45941</v>
      </c>
      <c r="C185" s="66">
        <v>34242382</v>
      </c>
      <c r="D185" s="156">
        <v>84.4</v>
      </c>
      <c r="E185" s="5">
        <v>72.432000000000002</v>
      </c>
      <c r="F185" s="5">
        <v>73.67</v>
      </c>
      <c r="G185" s="5">
        <f>F185-E185</f>
        <v>1.2379999999999995</v>
      </c>
      <c r="H185" s="16">
        <f t="shared" si="21"/>
        <v>1.0644323999999996</v>
      </c>
      <c r="I185" s="16"/>
      <c r="J185" s="16">
        <f t="shared" si="24"/>
        <v>9.1105777729407811E-2</v>
      </c>
      <c r="K185" s="19">
        <f t="shared" si="25"/>
        <v>1.1555381777294074</v>
      </c>
      <c r="M185" s="13" t="s">
        <v>69</v>
      </c>
    </row>
    <row r="186" spans="1:16" x14ac:dyDescent="0.25">
      <c r="A186" s="1">
        <v>136</v>
      </c>
      <c r="B186" s="33"/>
      <c r="C186" s="66">
        <v>43242379</v>
      </c>
      <c r="D186" s="156">
        <v>56.2</v>
      </c>
      <c r="E186" s="5">
        <v>44.122999999999998</v>
      </c>
      <c r="F186" s="5">
        <v>44.889000000000003</v>
      </c>
      <c r="G186" s="5"/>
      <c r="H186" s="16">
        <f t="shared" si="21"/>
        <v>0</v>
      </c>
      <c r="I186" s="16">
        <f>(((D186*0.015)*12)/7)</f>
        <v>1.4451428571428571</v>
      </c>
      <c r="J186" s="16"/>
      <c r="K186" s="19">
        <f t="shared" si="25"/>
        <v>1.4451428571428571</v>
      </c>
      <c r="M186" s="13" t="s">
        <v>71</v>
      </c>
      <c r="O186" s="12"/>
    </row>
    <row r="187" spans="1:16" x14ac:dyDescent="0.25">
      <c r="A187" s="1">
        <v>137</v>
      </c>
      <c r="B187" s="47">
        <v>45580</v>
      </c>
      <c r="C187" s="66">
        <v>43242240</v>
      </c>
      <c r="D187" s="156">
        <v>55.7</v>
      </c>
      <c r="E187" s="5">
        <v>30.05</v>
      </c>
      <c r="F187" s="5">
        <v>30.724</v>
      </c>
      <c r="G187" s="5">
        <f>F187-E187</f>
        <v>0.67399999999999949</v>
      </c>
      <c r="H187" s="16">
        <f t="shared" si="21"/>
        <v>0.57950519999999961</v>
      </c>
      <c r="I187" s="16"/>
      <c r="J187" s="16">
        <f t="shared" si="24"/>
        <v>6.0125495492038099E-2</v>
      </c>
      <c r="K187" s="19">
        <f>H187+I187+J187</f>
        <v>0.63963069549203766</v>
      </c>
      <c r="M187" s="13" t="s">
        <v>69</v>
      </c>
    </row>
    <row r="188" spans="1:16" x14ac:dyDescent="0.25">
      <c r="A188" s="1">
        <v>138</v>
      </c>
      <c r="B188" s="47">
        <v>45580</v>
      </c>
      <c r="C188" s="66">
        <v>43242241</v>
      </c>
      <c r="D188" s="156">
        <v>84.3</v>
      </c>
      <c r="E188" s="5">
        <v>61.662999999999997</v>
      </c>
      <c r="F188" s="5">
        <v>62.762</v>
      </c>
      <c r="G188" s="5">
        <f>F188-E188</f>
        <v>1.0990000000000038</v>
      </c>
      <c r="H188" s="16">
        <f t="shared" si="21"/>
        <v>0.94492020000000321</v>
      </c>
      <c r="I188" s="16"/>
      <c r="J188" s="16">
        <f t="shared" si="24"/>
        <v>9.0997832495131256E-2</v>
      </c>
      <c r="K188" s="19">
        <f t="shared" si="25"/>
        <v>1.0359180324951345</v>
      </c>
      <c r="M188" s="13" t="s">
        <v>69</v>
      </c>
    </row>
    <row r="189" spans="1:16" x14ac:dyDescent="0.25">
      <c r="A189" s="1">
        <v>139</v>
      </c>
      <c r="B189" s="47">
        <v>45725</v>
      </c>
      <c r="C189" s="66">
        <v>34242385</v>
      </c>
      <c r="D189" s="156">
        <v>84</v>
      </c>
      <c r="E189" s="5">
        <v>10.619</v>
      </c>
      <c r="F189" s="5">
        <v>10.63</v>
      </c>
      <c r="G189" s="5">
        <f>F189-E189</f>
        <v>1.1000000000001009E-2</v>
      </c>
      <c r="H189" s="16">
        <f t="shared" si="21"/>
        <v>9.4578000000008679E-3</v>
      </c>
      <c r="I189" s="16"/>
      <c r="J189" s="16">
        <f t="shared" si="24"/>
        <v>9.0673996792301606E-2</v>
      </c>
      <c r="K189" s="19">
        <f>H189+I189+J189</f>
        <v>0.10013179679230247</v>
      </c>
      <c r="M189" s="13" t="s">
        <v>69</v>
      </c>
    </row>
    <row r="190" spans="1:16" x14ac:dyDescent="0.25">
      <c r="A190" s="1">
        <v>140</v>
      </c>
      <c r="B190" s="47">
        <v>45928</v>
      </c>
      <c r="C190" s="10" t="s">
        <v>103</v>
      </c>
      <c r="D190" s="156">
        <v>55.6</v>
      </c>
      <c r="E190" s="5">
        <v>6.0259999999999998</v>
      </c>
      <c r="F190" s="5">
        <v>6.62</v>
      </c>
      <c r="G190" s="5"/>
      <c r="H190" s="16">
        <f>F190-E190</f>
        <v>0.59400000000000031</v>
      </c>
      <c r="I190" s="16"/>
      <c r="J190" s="16">
        <f t="shared" si="24"/>
        <v>6.0017550257761537E-2</v>
      </c>
      <c r="K190" s="19">
        <f t="shared" si="25"/>
        <v>0.65401755025776187</v>
      </c>
      <c r="M190" s="13" t="s">
        <v>69</v>
      </c>
    </row>
    <row r="191" spans="1:16" x14ac:dyDescent="0.25">
      <c r="A191" s="1">
        <v>141</v>
      </c>
      <c r="B191" s="47">
        <v>46273</v>
      </c>
      <c r="C191" s="66">
        <v>34242390</v>
      </c>
      <c r="D191" s="156">
        <v>56.4</v>
      </c>
      <c r="E191" s="5">
        <v>19.802</v>
      </c>
      <c r="F191" s="5">
        <v>20.105</v>
      </c>
      <c r="G191" s="5">
        <f>F191-E191</f>
        <v>0.30300000000000082</v>
      </c>
      <c r="H191" s="16">
        <f>G191*0.8598</f>
        <v>0.26051940000000073</v>
      </c>
      <c r="I191" s="16"/>
      <c r="J191" s="16">
        <f t="shared" si="24"/>
        <v>6.0881112131973933E-2</v>
      </c>
      <c r="K191" s="19">
        <f t="shared" si="25"/>
        <v>0.32140051213197468</v>
      </c>
      <c r="M191" s="13" t="s">
        <v>69</v>
      </c>
      <c r="O191" s="12"/>
    </row>
    <row r="192" spans="1:16" x14ac:dyDescent="0.25">
      <c r="A192" s="1">
        <v>142</v>
      </c>
      <c r="B192" s="33" t="s">
        <v>147</v>
      </c>
      <c r="C192" s="10" t="s">
        <v>77</v>
      </c>
      <c r="D192" s="156">
        <v>84.1</v>
      </c>
      <c r="E192" s="39">
        <v>4.9370000000000003</v>
      </c>
      <c r="F192" s="39">
        <v>5.1210000000000004</v>
      </c>
      <c r="G192" s="5"/>
      <c r="H192" s="16">
        <f>F192-E192</f>
        <v>0.18400000000000016</v>
      </c>
      <c r="I192" s="16"/>
      <c r="J192" s="16">
        <f t="shared" si="24"/>
        <v>9.0781942026578161E-2</v>
      </c>
      <c r="K192" s="19">
        <f t="shared" si="25"/>
        <v>0.27478194202657835</v>
      </c>
      <c r="M192" s="13" t="s">
        <v>69</v>
      </c>
    </row>
    <row r="193" spans="1:16" x14ac:dyDescent="0.25">
      <c r="A193" s="1">
        <v>143</v>
      </c>
      <c r="B193" s="47">
        <v>45915</v>
      </c>
      <c r="C193" s="66">
        <v>34242383</v>
      </c>
      <c r="D193" s="156">
        <v>83.5</v>
      </c>
      <c r="E193" s="5">
        <v>39.286000000000001</v>
      </c>
      <c r="F193" s="5">
        <v>40.113999999999997</v>
      </c>
      <c r="G193" s="5">
        <f>F193-E193</f>
        <v>0.82799999999999585</v>
      </c>
      <c r="H193" s="16">
        <f t="shared" ref="H193:H221" si="26">G193*0.8598</f>
        <v>0.71191439999999639</v>
      </c>
      <c r="I193" s="16"/>
      <c r="J193" s="16">
        <f t="shared" si="24"/>
        <v>9.013427062091886E-2</v>
      </c>
      <c r="K193" s="19">
        <f t="shared" si="25"/>
        <v>0.80204867062091523</v>
      </c>
      <c r="M193" s="13" t="s">
        <v>69</v>
      </c>
    </row>
    <row r="194" spans="1:16" x14ac:dyDescent="0.25">
      <c r="A194" s="1">
        <v>144</v>
      </c>
      <c r="B194" s="34"/>
      <c r="C194" s="66">
        <v>34242379</v>
      </c>
      <c r="D194" s="156">
        <v>56.3</v>
      </c>
      <c r="E194" s="5">
        <v>25.323</v>
      </c>
      <c r="F194" s="5">
        <v>25.481000000000002</v>
      </c>
      <c r="G194" s="5"/>
      <c r="H194" s="16">
        <f t="shared" si="26"/>
        <v>0</v>
      </c>
      <c r="I194" s="16">
        <f>(((D194*0.015)*12)/7)</f>
        <v>1.4477142857142855</v>
      </c>
      <c r="J194" s="16"/>
      <c r="K194" s="19">
        <f t="shared" si="25"/>
        <v>1.4477142857142855</v>
      </c>
      <c r="M194" s="13" t="s">
        <v>71</v>
      </c>
      <c r="O194" s="12"/>
    </row>
    <row r="195" spans="1:16" x14ac:dyDescent="0.25">
      <c r="A195" s="1">
        <v>145</v>
      </c>
      <c r="B195" s="47">
        <v>45829</v>
      </c>
      <c r="C195" s="66">
        <v>34242386</v>
      </c>
      <c r="D195" s="156">
        <v>56.6</v>
      </c>
      <c r="E195" s="5">
        <v>21.779</v>
      </c>
      <c r="F195" s="5">
        <v>21.838999999999999</v>
      </c>
      <c r="G195" s="5">
        <f>F195-E195</f>
        <v>5.9999999999998721E-2</v>
      </c>
      <c r="H195" s="16">
        <f t="shared" si="26"/>
        <v>5.1587999999998899E-2</v>
      </c>
      <c r="I195" s="16"/>
      <c r="J195" s="16">
        <f t="shared" si="24"/>
        <v>6.1097002600527028E-2</v>
      </c>
      <c r="K195" s="19">
        <f t="shared" si="25"/>
        <v>0.11268500260052593</v>
      </c>
      <c r="M195" s="13" t="s">
        <v>69</v>
      </c>
    </row>
    <row r="196" spans="1:16" x14ac:dyDescent="0.25">
      <c r="A196" s="1">
        <v>146</v>
      </c>
      <c r="B196" s="47">
        <v>45829</v>
      </c>
      <c r="C196" s="66">
        <v>34242384</v>
      </c>
      <c r="D196" s="156">
        <v>84.3</v>
      </c>
      <c r="E196" s="5">
        <v>25.34</v>
      </c>
      <c r="F196" s="5">
        <v>25.785</v>
      </c>
      <c r="G196" s="5">
        <f>F196-E196</f>
        <v>0.44500000000000028</v>
      </c>
      <c r="H196" s="16">
        <f t="shared" si="26"/>
        <v>0.38261100000000026</v>
      </c>
      <c r="I196" s="16"/>
      <c r="J196" s="16">
        <f t="shared" si="24"/>
        <v>9.0997832495131256E-2</v>
      </c>
      <c r="K196" s="19">
        <f t="shared" si="25"/>
        <v>0.47360883249513153</v>
      </c>
      <c r="M196" s="13" t="s">
        <v>69</v>
      </c>
    </row>
    <row r="197" spans="1:16" x14ac:dyDescent="0.25">
      <c r="A197" s="1">
        <v>147</v>
      </c>
      <c r="B197" s="47">
        <v>45753</v>
      </c>
      <c r="C197" s="66">
        <v>34242301</v>
      </c>
      <c r="D197" s="156">
        <v>84.7</v>
      </c>
      <c r="E197" s="5">
        <v>37.819000000000003</v>
      </c>
      <c r="F197" s="5">
        <v>38.497999999999998</v>
      </c>
      <c r="G197" s="5">
        <f>F197-E197</f>
        <v>0.67899999999999494</v>
      </c>
      <c r="H197" s="16">
        <f t="shared" si="26"/>
        <v>0.58380419999999567</v>
      </c>
      <c r="I197" s="16"/>
      <c r="J197" s="16">
        <f t="shared" si="24"/>
        <v>9.1429613432237461E-2</v>
      </c>
      <c r="K197" s="19">
        <f t="shared" si="25"/>
        <v>0.6752338134322331</v>
      </c>
      <c r="M197" s="13" t="s">
        <v>69</v>
      </c>
    </row>
    <row r="198" spans="1:16" x14ac:dyDescent="0.25">
      <c r="A198" s="1">
        <v>148</v>
      </c>
      <c r="B198" s="47">
        <v>45899</v>
      </c>
      <c r="C198" s="66">
        <v>34242298</v>
      </c>
      <c r="D198" s="156">
        <v>56.4</v>
      </c>
      <c r="E198" s="5">
        <v>27.687000000000001</v>
      </c>
      <c r="F198" s="5">
        <v>28.312999999999999</v>
      </c>
      <c r="G198" s="5">
        <f>F198-E198</f>
        <v>0.62599999999999767</v>
      </c>
      <c r="H198" s="16">
        <f t="shared" si="26"/>
        <v>0.53823479999999801</v>
      </c>
      <c r="I198" s="16"/>
      <c r="J198" s="16">
        <f t="shared" si="24"/>
        <v>6.0881112131973933E-2</v>
      </c>
      <c r="K198" s="19">
        <f t="shared" si="25"/>
        <v>0.59911591213197191</v>
      </c>
      <c r="M198" s="13" t="s">
        <v>69</v>
      </c>
    </row>
    <row r="199" spans="1:16" x14ac:dyDescent="0.25">
      <c r="A199" s="1">
        <v>149</v>
      </c>
      <c r="B199" s="33"/>
      <c r="C199" s="66">
        <v>34242302</v>
      </c>
      <c r="D199" s="156">
        <v>56.7</v>
      </c>
      <c r="E199" s="5">
        <v>28.379000000000001</v>
      </c>
      <c r="F199" s="5">
        <v>28.800999999999998</v>
      </c>
      <c r="G199" s="5"/>
      <c r="H199" s="16">
        <f t="shared" si="26"/>
        <v>0</v>
      </c>
      <c r="I199" s="16">
        <f>(((D199*0.015)*12)/7)</f>
        <v>1.458</v>
      </c>
      <c r="J199" s="16"/>
      <c r="K199" s="19">
        <f t="shared" si="25"/>
        <v>1.458</v>
      </c>
      <c r="M199" s="13" t="s">
        <v>71</v>
      </c>
      <c r="O199" s="12"/>
    </row>
    <row r="200" spans="1:16" x14ac:dyDescent="0.25">
      <c r="A200" s="1">
        <v>150</v>
      </c>
      <c r="B200" s="47">
        <v>45873</v>
      </c>
      <c r="C200" s="66">
        <v>34242299</v>
      </c>
      <c r="D200" s="156">
        <v>84.6</v>
      </c>
      <c r="E200" s="5">
        <v>21.268000000000001</v>
      </c>
      <c r="F200" s="5">
        <v>21.268000000000001</v>
      </c>
      <c r="G200" s="5">
        <f>F200-E200</f>
        <v>0</v>
      </c>
      <c r="H200" s="16">
        <f t="shared" si="26"/>
        <v>0</v>
      </c>
      <c r="I200" s="16"/>
      <c r="J200" s="16">
        <f t="shared" si="24"/>
        <v>9.1321668197960906E-2</v>
      </c>
      <c r="K200" s="19">
        <f t="shared" si="25"/>
        <v>9.1321668197960906E-2</v>
      </c>
      <c r="M200" s="13" t="s">
        <v>69</v>
      </c>
    </row>
    <row r="201" spans="1:16" x14ac:dyDescent="0.25">
      <c r="A201" s="1">
        <v>151</v>
      </c>
      <c r="B201" s="47">
        <v>45937</v>
      </c>
      <c r="C201" s="66">
        <v>34242300</v>
      </c>
      <c r="D201" s="156">
        <v>84.6</v>
      </c>
      <c r="E201" s="5">
        <v>35.195999999999998</v>
      </c>
      <c r="F201" s="5">
        <v>35.524000000000001</v>
      </c>
      <c r="G201" s="5">
        <f>F201-E201</f>
        <v>0.32800000000000296</v>
      </c>
      <c r="H201" s="16">
        <f t="shared" si="26"/>
        <v>0.28201440000000255</v>
      </c>
      <c r="I201" s="16"/>
      <c r="J201" s="16">
        <f t="shared" si="24"/>
        <v>9.1321668197960906E-2</v>
      </c>
      <c r="K201" s="19">
        <f t="shared" si="25"/>
        <v>0.37333606819796344</v>
      </c>
      <c r="M201" s="13" t="s">
        <v>69</v>
      </c>
    </row>
    <row r="202" spans="1:16" x14ac:dyDescent="0.25">
      <c r="A202" s="1">
        <v>152</v>
      </c>
      <c r="B202" s="47">
        <v>45593</v>
      </c>
      <c r="C202" s="10" t="s">
        <v>94</v>
      </c>
      <c r="D202" s="156">
        <v>56.3</v>
      </c>
      <c r="E202" s="39">
        <v>0.54420000000000002</v>
      </c>
      <c r="F202" s="39">
        <v>0.54800000000000004</v>
      </c>
      <c r="G202" s="5"/>
      <c r="H202" s="16">
        <f>F202-E202</f>
        <v>3.8000000000000256E-3</v>
      </c>
      <c r="I202" s="16"/>
      <c r="J202" s="16">
        <f t="shared" si="24"/>
        <v>6.0773166897697385E-2</v>
      </c>
      <c r="K202" s="19">
        <f>H202+I202+J202</f>
        <v>6.4573166897697404E-2</v>
      </c>
      <c r="M202" s="13" t="s">
        <v>69</v>
      </c>
    </row>
    <row r="203" spans="1:16" x14ac:dyDescent="0.25">
      <c r="A203" s="1">
        <v>153</v>
      </c>
      <c r="B203" s="47">
        <v>45594</v>
      </c>
      <c r="C203" s="10" t="s">
        <v>92</v>
      </c>
      <c r="D203" s="156">
        <v>56.9</v>
      </c>
      <c r="E203" s="39">
        <v>0.751</v>
      </c>
      <c r="F203" s="39">
        <v>1.2769999999999999</v>
      </c>
      <c r="G203" s="5"/>
      <c r="H203" s="16">
        <f>F203-E203</f>
        <v>0.52599999999999991</v>
      </c>
      <c r="I203" s="16"/>
      <c r="J203" s="16">
        <f t="shared" si="24"/>
        <v>6.1420838303356678E-2</v>
      </c>
      <c r="K203" s="19">
        <f t="shared" si="25"/>
        <v>0.58742083830335656</v>
      </c>
      <c r="M203" s="13" t="s">
        <v>69</v>
      </c>
    </row>
    <row r="204" spans="1:16" x14ac:dyDescent="0.25">
      <c r="A204" s="1">
        <v>154</v>
      </c>
      <c r="B204" s="47">
        <v>46000</v>
      </c>
      <c r="C204" s="66">
        <v>34242305</v>
      </c>
      <c r="D204" s="156">
        <v>85.7</v>
      </c>
      <c r="E204" s="5">
        <v>31.238</v>
      </c>
      <c r="F204" s="5">
        <v>32.268999999999998</v>
      </c>
      <c r="G204" s="5">
        <f>F204-E204</f>
        <v>1.0309999999999988</v>
      </c>
      <c r="H204" s="16">
        <f t="shared" si="26"/>
        <v>0.88645379999999896</v>
      </c>
      <c r="I204" s="16"/>
      <c r="J204" s="16">
        <f t="shared" si="24"/>
        <v>9.2509065775002952E-2</v>
      </c>
      <c r="K204" s="19">
        <f t="shared" si="25"/>
        <v>0.97896286577500191</v>
      </c>
      <c r="M204" s="13" t="s">
        <v>69</v>
      </c>
      <c r="O204" s="12"/>
      <c r="P204" s="12"/>
    </row>
    <row r="205" spans="1:16" x14ac:dyDescent="0.25">
      <c r="A205" s="1">
        <v>155</v>
      </c>
      <c r="B205" s="47">
        <v>46155</v>
      </c>
      <c r="C205" s="66" t="s">
        <v>148</v>
      </c>
      <c r="D205" s="156">
        <v>84.9</v>
      </c>
      <c r="E205" s="5">
        <v>0.20899999999999999</v>
      </c>
      <c r="F205" s="5">
        <v>0.53500000000000003</v>
      </c>
      <c r="G205" s="5"/>
      <c r="H205" s="16">
        <f>F205-E205</f>
        <v>0.32600000000000007</v>
      </c>
      <c r="I205" s="16"/>
      <c r="J205" s="16">
        <f t="shared" si="24"/>
        <v>9.1645503900790556E-2</v>
      </c>
      <c r="K205" s="19">
        <f t="shared" si="25"/>
        <v>0.41764550390079064</v>
      </c>
      <c r="M205" s="13" t="s">
        <v>69</v>
      </c>
    </row>
    <row r="206" spans="1:16" x14ac:dyDescent="0.25">
      <c r="A206" s="1">
        <v>156</v>
      </c>
      <c r="B206" s="47">
        <v>46045</v>
      </c>
      <c r="C206" s="66">
        <v>34242320</v>
      </c>
      <c r="D206" s="156">
        <v>56.8</v>
      </c>
      <c r="E206" s="5">
        <v>43.014000000000003</v>
      </c>
      <c r="F206" s="5">
        <v>43.579000000000001</v>
      </c>
      <c r="G206" s="5">
        <f t="shared" ref="G206:G211" si="27">F206-E206</f>
        <v>0.56499999999999773</v>
      </c>
      <c r="H206" s="16">
        <f t="shared" si="26"/>
        <v>0.48578699999999803</v>
      </c>
      <c r="I206" s="16"/>
      <c r="J206" s="16">
        <f t="shared" si="24"/>
        <v>6.1312893069080131E-2</v>
      </c>
      <c r="K206" s="19">
        <f t="shared" si="25"/>
        <v>0.54709989306907814</v>
      </c>
      <c r="M206" s="13" t="s">
        <v>69</v>
      </c>
    </row>
    <row r="207" spans="1:16" x14ac:dyDescent="0.25">
      <c r="A207" s="1">
        <v>157</v>
      </c>
      <c r="B207" s="47">
        <v>45934</v>
      </c>
      <c r="C207" s="66">
        <v>34242321</v>
      </c>
      <c r="D207" s="156">
        <v>57.1</v>
      </c>
      <c r="E207" s="5">
        <v>42.371000000000002</v>
      </c>
      <c r="F207" s="5">
        <v>43.15</v>
      </c>
      <c r="G207" s="5">
        <f t="shared" si="27"/>
        <v>0.77899999999999636</v>
      </c>
      <c r="H207" s="16">
        <f t="shared" si="26"/>
        <v>0.66978419999999683</v>
      </c>
      <c r="I207" s="16"/>
      <c r="J207" s="16">
        <f t="shared" si="24"/>
        <v>6.1636728771909788E-2</v>
      </c>
      <c r="K207" s="19">
        <f t="shared" si="25"/>
        <v>0.73142092877190668</v>
      </c>
      <c r="M207" s="13" t="s">
        <v>69</v>
      </c>
    </row>
    <row r="208" spans="1:16" x14ac:dyDescent="0.25">
      <c r="A208" s="1">
        <v>158</v>
      </c>
      <c r="B208" s="47">
        <v>46279</v>
      </c>
      <c r="C208" s="66">
        <v>34242304</v>
      </c>
      <c r="D208" s="156">
        <v>85.5</v>
      </c>
      <c r="E208" s="5">
        <v>49.828000000000003</v>
      </c>
      <c r="F208" s="5">
        <v>50.546999999999997</v>
      </c>
      <c r="G208" s="5">
        <f t="shared" si="27"/>
        <v>0.71899999999999409</v>
      </c>
      <c r="H208" s="16">
        <f t="shared" si="26"/>
        <v>0.61819619999999498</v>
      </c>
      <c r="I208" s="16"/>
      <c r="J208" s="16">
        <f t="shared" si="24"/>
        <v>9.2293175306449857E-2</v>
      </c>
      <c r="K208" s="19">
        <f t="shared" si="25"/>
        <v>0.71048937530644485</v>
      </c>
      <c r="M208" s="13" t="s">
        <v>69</v>
      </c>
      <c r="O208" s="12"/>
    </row>
    <row r="209" spans="1:15" x14ac:dyDescent="0.25">
      <c r="A209" s="1">
        <v>159</v>
      </c>
      <c r="B209" s="47">
        <v>45907</v>
      </c>
      <c r="C209" s="66">
        <v>34242308</v>
      </c>
      <c r="D209" s="156">
        <v>84.6</v>
      </c>
      <c r="E209" s="74">
        <v>46.447000000000003</v>
      </c>
      <c r="F209" s="74">
        <v>47.005000000000003</v>
      </c>
      <c r="G209" s="5">
        <f t="shared" si="27"/>
        <v>0.55799999999999983</v>
      </c>
      <c r="H209" s="16">
        <f t="shared" si="26"/>
        <v>0.47976839999999987</v>
      </c>
      <c r="I209" s="16"/>
      <c r="J209" s="16">
        <f t="shared" si="24"/>
        <v>9.1321668197960906E-2</v>
      </c>
      <c r="K209" s="19">
        <f t="shared" si="25"/>
        <v>0.57109006819796082</v>
      </c>
      <c r="M209" s="13" t="s">
        <v>69</v>
      </c>
    </row>
    <row r="210" spans="1:15" x14ac:dyDescent="0.25">
      <c r="A210" s="1">
        <v>160</v>
      </c>
      <c r="B210" s="47">
        <v>45753</v>
      </c>
      <c r="C210" s="66">
        <v>34242307</v>
      </c>
      <c r="D210" s="156">
        <v>56.3</v>
      </c>
      <c r="E210" s="5">
        <v>6.5449999999999999</v>
      </c>
      <c r="F210" s="5">
        <v>6.6449999999999996</v>
      </c>
      <c r="G210" s="5">
        <f t="shared" si="27"/>
        <v>9.9999999999999645E-2</v>
      </c>
      <c r="H210" s="16">
        <f t="shared" si="26"/>
        <v>8.5979999999999696E-2</v>
      </c>
      <c r="I210" s="16"/>
      <c r="J210" s="16">
        <f t="shared" si="24"/>
        <v>6.0773166897697385E-2</v>
      </c>
      <c r="K210" s="19">
        <f t="shared" si="25"/>
        <v>0.14675316689769707</v>
      </c>
      <c r="M210" s="13" t="s">
        <v>69</v>
      </c>
    </row>
    <row r="211" spans="1:15" x14ac:dyDescent="0.25">
      <c r="A211" s="1">
        <v>161</v>
      </c>
      <c r="B211" s="47">
        <v>45934</v>
      </c>
      <c r="C211" s="66">
        <v>34242312</v>
      </c>
      <c r="D211" s="156">
        <v>56.8</v>
      </c>
      <c r="E211" s="5">
        <v>10.662000000000001</v>
      </c>
      <c r="F211" s="5">
        <v>10.773999999999999</v>
      </c>
      <c r="G211" s="5">
        <f t="shared" si="27"/>
        <v>0.11199999999999832</v>
      </c>
      <c r="H211" s="16">
        <f t="shared" si="26"/>
        <v>9.6297599999998554E-2</v>
      </c>
      <c r="I211" s="16"/>
      <c r="J211" s="16">
        <f t="shared" si="24"/>
        <v>6.1312893069080131E-2</v>
      </c>
      <c r="K211" s="19">
        <f t="shared" si="25"/>
        <v>0.15761049306907868</v>
      </c>
      <c r="M211" s="13" t="s">
        <v>69</v>
      </c>
    </row>
    <row r="212" spans="1:15" x14ac:dyDescent="0.25">
      <c r="A212" s="1">
        <v>162</v>
      </c>
      <c r="B212" s="47">
        <v>47017</v>
      </c>
      <c r="C212" s="66" t="s">
        <v>157</v>
      </c>
      <c r="D212" s="156">
        <v>85.2</v>
      </c>
      <c r="E212" s="5">
        <v>0.214</v>
      </c>
      <c r="F212" s="5">
        <v>0.878</v>
      </c>
      <c r="G212" s="5"/>
      <c r="H212" s="16">
        <f>F212-E212</f>
        <v>0.66400000000000003</v>
      </c>
      <c r="I212" s="16"/>
      <c r="J212" s="16">
        <f t="shared" si="24"/>
        <v>9.1969339603620207E-2</v>
      </c>
      <c r="K212" s="19">
        <f t="shared" si="25"/>
        <v>0.75596933960362023</v>
      </c>
      <c r="M212" s="13" t="s">
        <v>69</v>
      </c>
      <c r="O212" s="12"/>
    </row>
    <row r="213" spans="1:15" x14ac:dyDescent="0.25">
      <c r="A213" s="1">
        <v>163</v>
      </c>
      <c r="B213" s="47">
        <v>45704</v>
      </c>
      <c r="C213" s="66">
        <v>34242188</v>
      </c>
      <c r="D213" s="156">
        <v>84.4</v>
      </c>
      <c r="E213" s="5">
        <v>5.327</v>
      </c>
      <c r="F213" s="5">
        <v>5.327</v>
      </c>
      <c r="G213" s="5">
        <f>F213-E213</f>
        <v>0</v>
      </c>
      <c r="H213" s="16">
        <f>G213*0.8598</f>
        <v>0</v>
      </c>
      <c r="I213" s="16"/>
      <c r="J213" s="16">
        <f t="shared" si="24"/>
        <v>9.1105777729407811E-2</v>
      </c>
      <c r="K213" s="19">
        <f t="shared" si="25"/>
        <v>9.1105777729407811E-2</v>
      </c>
      <c r="M213" s="13" t="s">
        <v>69</v>
      </c>
    </row>
    <row r="214" spans="1:15" x14ac:dyDescent="0.25">
      <c r="A214" s="1">
        <v>164</v>
      </c>
      <c r="B214" s="47">
        <v>45748</v>
      </c>
      <c r="C214" s="66">
        <v>34242185</v>
      </c>
      <c r="D214" s="156">
        <v>55.9</v>
      </c>
      <c r="E214" s="5">
        <v>23.283000000000001</v>
      </c>
      <c r="F214" s="5">
        <v>23.771000000000001</v>
      </c>
      <c r="G214" s="5">
        <f>F214-E214</f>
        <v>0.48799999999999955</v>
      </c>
      <c r="H214" s="16">
        <f>G214*0.8598</f>
        <v>0.41958239999999963</v>
      </c>
      <c r="I214" s="16"/>
      <c r="J214" s="16">
        <f t="shared" si="24"/>
        <v>6.0341385960591187E-2</v>
      </c>
      <c r="K214" s="19">
        <f>H214+I214+J214</f>
        <v>0.47992378596059082</v>
      </c>
      <c r="M214" s="13" t="s">
        <v>69</v>
      </c>
    </row>
    <row r="215" spans="1:15" x14ac:dyDescent="0.25">
      <c r="A215" s="1">
        <v>165</v>
      </c>
      <c r="B215" s="47">
        <v>45748</v>
      </c>
      <c r="C215" s="66">
        <v>43441088</v>
      </c>
      <c r="D215" s="156">
        <v>56.7</v>
      </c>
      <c r="E215" s="5">
        <v>22.882999999999999</v>
      </c>
      <c r="F215" s="5">
        <v>23.777000000000001</v>
      </c>
      <c r="G215" s="5">
        <f>F215-E215</f>
        <v>0.8940000000000019</v>
      </c>
      <c r="H215" s="16">
        <f t="shared" si="26"/>
        <v>0.7686612000000016</v>
      </c>
      <c r="I215" s="16"/>
      <c r="J215" s="16">
        <f t="shared" si="24"/>
        <v>6.120494783480359E-2</v>
      </c>
      <c r="K215" s="19">
        <f t="shared" si="25"/>
        <v>0.82986614783480517</v>
      </c>
      <c r="M215" s="13" t="s">
        <v>69</v>
      </c>
    </row>
    <row r="216" spans="1:15" x14ac:dyDescent="0.25">
      <c r="A216" s="1">
        <v>166</v>
      </c>
      <c r="B216" s="47">
        <v>45795</v>
      </c>
      <c r="C216" s="66">
        <v>34242310</v>
      </c>
      <c r="D216" s="156">
        <v>85.2</v>
      </c>
      <c r="E216" s="5">
        <v>36.799999999999997</v>
      </c>
      <c r="F216" s="5">
        <v>37.4</v>
      </c>
      <c r="G216" s="5">
        <f>F216-E216</f>
        <v>0.60000000000000142</v>
      </c>
      <c r="H216" s="16">
        <f>G216*0.8598</f>
        <v>0.51588000000000123</v>
      </c>
      <c r="I216" s="16"/>
      <c r="J216" s="16">
        <f t="shared" si="24"/>
        <v>9.1969339603620207E-2</v>
      </c>
      <c r="K216" s="19">
        <f t="shared" si="25"/>
        <v>0.60784933960362142</v>
      </c>
      <c r="M216" s="13" t="s">
        <v>69</v>
      </c>
    </row>
    <row r="217" spans="1:15" x14ac:dyDescent="0.25">
      <c r="A217" s="1">
        <v>167</v>
      </c>
      <c r="B217" s="33"/>
      <c r="C217" s="66">
        <v>34242187</v>
      </c>
      <c r="D217" s="156">
        <v>84.9</v>
      </c>
      <c r="E217" s="5">
        <v>62.914000000000001</v>
      </c>
      <c r="F217" s="5">
        <v>64.218000000000004</v>
      </c>
      <c r="G217" s="5"/>
      <c r="H217" s="16">
        <f t="shared" si="26"/>
        <v>0</v>
      </c>
      <c r="I217" s="16">
        <f t="shared" ref="I217:I218" si="28">(((D217*0.015)*12)/7)</f>
        <v>2.1831428571428573</v>
      </c>
      <c r="J217" s="16"/>
      <c r="K217" s="19">
        <f t="shared" si="25"/>
        <v>2.1831428571428573</v>
      </c>
      <c r="M217" s="13" t="s">
        <v>71</v>
      </c>
      <c r="O217" s="12"/>
    </row>
    <row r="218" spans="1:15" x14ac:dyDescent="0.25">
      <c r="A218" s="1">
        <v>168</v>
      </c>
      <c r="B218" s="33"/>
      <c r="C218" s="66">
        <v>34242189</v>
      </c>
      <c r="D218" s="156">
        <v>56.4</v>
      </c>
      <c r="E218" s="5">
        <v>5.01</v>
      </c>
      <c r="F218" s="5">
        <v>5.01</v>
      </c>
      <c r="G218" s="5"/>
      <c r="H218" s="16">
        <f t="shared" si="26"/>
        <v>0</v>
      </c>
      <c r="I218" s="16">
        <f t="shared" si="28"/>
        <v>1.4502857142857142</v>
      </c>
      <c r="J218" s="16"/>
      <c r="K218" s="19">
        <f t="shared" si="25"/>
        <v>1.4502857142857142</v>
      </c>
      <c r="M218" s="13" t="s">
        <v>71</v>
      </c>
      <c r="O218" s="12"/>
    </row>
    <row r="219" spans="1:15" x14ac:dyDescent="0.25">
      <c r="A219" s="1">
        <v>169</v>
      </c>
      <c r="B219" s="47">
        <v>46000</v>
      </c>
      <c r="C219" s="66">
        <v>34242191</v>
      </c>
      <c r="D219" s="156">
        <v>57</v>
      </c>
      <c r="E219" s="5">
        <v>27.850999999999999</v>
      </c>
      <c r="F219" s="5">
        <v>28.567</v>
      </c>
      <c r="G219" s="5">
        <f>F219-E219</f>
        <v>0.71600000000000108</v>
      </c>
      <c r="H219" s="16">
        <f t="shared" si="26"/>
        <v>0.61561680000000096</v>
      </c>
      <c r="I219" s="16"/>
      <c r="J219" s="16">
        <f t="shared" ref="J219:J222" si="29">D219/($E$25-$E$26)*$J$24</f>
        <v>6.1528783537633233E-2</v>
      </c>
      <c r="K219" s="19">
        <f t="shared" si="25"/>
        <v>0.67714558353763421</v>
      </c>
      <c r="M219" s="13" t="s">
        <v>69</v>
      </c>
      <c r="O219" s="12"/>
    </row>
    <row r="220" spans="1:15" x14ac:dyDescent="0.25">
      <c r="A220" s="1">
        <v>170</v>
      </c>
      <c r="B220" s="47">
        <v>45608</v>
      </c>
      <c r="C220" s="66">
        <v>34242190</v>
      </c>
      <c r="D220" s="156">
        <v>85.3</v>
      </c>
      <c r="E220" s="5">
        <v>44.86</v>
      </c>
      <c r="F220" s="5">
        <v>45.627000000000002</v>
      </c>
      <c r="G220" s="5">
        <f>F220-E220</f>
        <v>0.76700000000000301</v>
      </c>
      <c r="H220" s="16">
        <f t="shared" si="26"/>
        <v>0.65946660000000257</v>
      </c>
      <c r="I220" s="16"/>
      <c r="J220" s="16">
        <f t="shared" si="29"/>
        <v>9.2077284837896747E-2</v>
      </c>
      <c r="K220" s="19">
        <f t="shared" si="25"/>
        <v>0.75154388483789936</v>
      </c>
      <c r="M220" s="13" t="s">
        <v>69</v>
      </c>
    </row>
    <row r="221" spans="1:15" x14ac:dyDescent="0.25">
      <c r="A221" s="1">
        <v>171</v>
      </c>
      <c r="B221" s="47">
        <v>45866</v>
      </c>
      <c r="C221" s="66">
        <v>34242184</v>
      </c>
      <c r="D221" s="156">
        <v>84.3</v>
      </c>
      <c r="E221" s="5">
        <v>7.931</v>
      </c>
      <c r="F221" s="5">
        <v>7.931</v>
      </c>
      <c r="G221" s="5">
        <f>F221-E221</f>
        <v>0</v>
      </c>
      <c r="H221" s="16">
        <f t="shared" si="26"/>
        <v>0</v>
      </c>
      <c r="I221" s="16"/>
      <c r="J221" s="16">
        <f t="shared" si="29"/>
        <v>9.0997832495131256E-2</v>
      </c>
      <c r="K221" s="19">
        <f t="shared" si="25"/>
        <v>9.0997832495131256E-2</v>
      </c>
      <c r="M221" s="13" t="s">
        <v>69</v>
      </c>
    </row>
    <row r="222" spans="1:15" x14ac:dyDescent="0.25">
      <c r="A222" s="1">
        <v>172</v>
      </c>
      <c r="B222" s="47">
        <v>45553</v>
      </c>
      <c r="C222" s="10" t="s">
        <v>88</v>
      </c>
      <c r="D222" s="156">
        <v>56.4</v>
      </c>
      <c r="E222" s="39">
        <v>1.4670000000000001</v>
      </c>
      <c r="F222" s="39">
        <v>1.6180000000000001</v>
      </c>
      <c r="G222" s="5"/>
      <c r="H222" s="16">
        <f>F222-E222</f>
        <v>0.15100000000000002</v>
      </c>
      <c r="I222" s="16"/>
      <c r="J222" s="16">
        <f t="shared" si="29"/>
        <v>6.0881112131973933E-2</v>
      </c>
      <c r="K222" s="19">
        <f t="shared" si="25"/>
        <v>0.21188111213197397</v>
      </c>
      <c r="M222" s="13" t="s">
        <v>69</v>
      </c>
    </row>
    <row r="223" spans="1:15" x14ac:dyDescent="0.25">
      <c r="A223" s="1">
        <v>173</v>
      </c>
      <c r="B223" s="33"/>
      <c r="C223" s="66">
        <v>34242186</v>
      </c>
      <c r="D223" s="156">
        <v>56.9</v>
      </c>
      <c r="E223" s="5">
        <v>32.030999999999999</v>
      </c>
      <c r="F223" s="5">
        <v>32.655999999999999</v>
      </c>
      <c r="G223" s="5"/>
      <c r="H223" s="16">
        <f t="shared" ref="H223:H249" si="30">G223*0.8598</f>
        <v>0</v>
      </c>
      <c r="I223" s="16">
        <f>(((D223*0.015)*12)/7)</f>
        <v>1.4631428571428571</v>
      </c>
      <c r="J223" s="16"/>
      <c r="K223" s="19">
        <f t="shared" si="25"/>
        <v>1.4631428571428571</v>
      </c>
      <c r="M223" s="13" t="s">
        <v>71</v>
      </c>
    </row>
    <row r="224" spans="1:15" x14ac:dyDescent="0.25">
      <c r="A224" s="1">
        <v>174</v>
      </c>
      <c r="B224" s="47">
        <v>45671</v>
      </c>
      <c r="C224" s="66">
        <v>34242183</v>
      </c>
      <c r="D224" s="156">
        <v>85.9</v>
      </c>
      <c r="E224" s="5">
        <v>37.158999999999999</v>
      </c>
      <c r="F224" s="5">
        <v>37.584000000000003</v>
      </c>
      <c r="G224" s="5">
        <f t="shared" ref="G224:G229" si="31">F224-E224</f>
        <v>0.42500000000000426</v>
      </c>
      <c r="H224" s="16">
        <f t="shared" si="30"/>
        <v>0.36541500000000365</v>
      </c>
      <c r="I224" s="16"/>
      <c r="J224" s="16">
        <f t="shared" ref="J224:J229" si="32">D224/($E$25-$E$26)*$J$24</f>
        <v>9.2724956243556048E-2</v>
      </c>
      <c r="K224" s="19">
        <f t="shared" si="25"/>
        <v>0.45813995624355969</v>
      </c>
      <c r="M224" s="13" t="s">
        <v>69</v>
      </c>
    </row>
    <row r="225" spans="1:15" x14ac:dyDescent="0.25">
      <c r="A225" s="1">
        <v>175</v>
      </c>
      <c r="B225" s="47">
        <v>45940</v>
      </c>
      <c r="C225" s="66">
        <v>34242196</v>
      </c>
      <c r="D225" s="156">
        <v>84.5</v>
      </c>
      <c r="E225" s="5">
        <v>36.627000000000002</v>
      </c>
      <c r="F225" s="5">
        <v>37.57</v>
      </c>
      <c r="G225" s="5">
        <f t="shared" si="31"/>
        <v>0.94299999999999784</v>
      </c>
      <c r="H225" s="16">
        <f t="shared" si="30"/>
        <v>0.81079139999999816</v>
      </c>
      <c r="I225" s="16"/>
      <c r="J225" s="16">
        <f t="shared" si="32"/>
        <v>9.1213722963684352E-2</v>
      </c>
      <c r="K225" s="19">
        <f t="shared" si="25"/>
        <v>0.90200512296368252</v>
      </c>
      <c r="M225" s="13" t="s">
        <v>69</v>
      </c>
    </row>
    <row r="226" spans="1:15" x14ac:dyDescent="0.25">
      <c r="A226" s="1">
        <v>176</v>
      </c>
      <c r="B226" s="47">
        <v>45748</v>
      </c>
      <c r="C226" s="66">
        <v>34242199</v>
      </c>
      <c r="D226" s="156">
        <v>56.5</v>
      </c>
      <c r="E226" s="5">
        <v>19.855</v>
      </c>
      <c r="F226" s="5">
        <v>20.129000000000001</v>
      </c>
      <c r="G226" s="5">
        <f t="shared" si="31"/>
        <v>0.27400000000000091</v>
      </c>
      <c r="H226" s="16">
        <f t="shared" si="30"/>
        <v>0.23558520000000077</v>
      </c>
      <c r="I226" s="16"/>
      <c r="J226" s="16">
        <f t="shared" si="32"/>
        <v>6.0989057366250488E-2</v>
      </c>
      <c r="K226" s="19">
        <f t="shared" si="25"/>
        <v>0.29657425736625126</v>
      </c>
      <c r="M226" s="13" t="s">
        <v>69</v>
      </c>
    </row>
    <row r="227" spans="1:15" x14ac:dyDescent="0.25">
      <c r="A227" s="1">
        <v>177</v>
      </c>
      <c r="B227" s="47">
        <v>45803</v>
      </c>
      <c r="C227" s="66">
        <v>34242192</v>
      </c>
      <c r="D227" s="156">
        <v>57</v>
      </c>
      <c r="E227" s="5">
        <v>17.718</v>
      </c>
      <c r="F227" s="5">
        <v>17.718</v>
      </c>
      <c r="G227" s="5">
        <f t="shared" si="31"/>
        <v>0</v>
      </c>
      <c r="H227" s="16">
        <f t="shared" si="30"/>
        <v>0</v>
      </c>
      <c r="I227" s="16"/>
      <c r="J227" s="16">
        <f t="shared" si="32"/>
        <v>6.1528783537633233E-2</v>
      </c>
      <c r="K227" s="19">
        <f t="shared" si="25"/>
        <v>6.1528783537633233E-2</v>
      </c>
      <c r="M227" s="13" t="s">
        <v>69</v>
      </c>
    </row>
    <row r="228" spans="1:15" x14ac:dyDescent="0.25">
      <c r="A228" s="1">
        <v>178</v>
      </c>
      <c r="B228" s="47">
        <v>46272</v>
      </c>
      <c r="C228" s="66">
        <v>34242198</v>
      </c>
      <c r="D228" s="156">
        <v>85.8</v>
      </c>
      <c r="E228" s="5">
        <v>37.371000000000002</v>
      </c>
      <c r="F228" s="5">
        <v>38.975000000000001</v>
      </c>
      <c r="G228" s="5">
        <f t="shared" si="31"/>
        <v>1.6039999999999992</v>
      </c>
      <c r="H228" s="16">
        <f t="shared" si="30"/>
        <v>1.3791191999999994</v>
      </c>
      <c r="I228" s="16"/>
      <c r="J228" s="16">
        <f t="shared" si="32"/>
        <v>9.2617011009279493E-2</v>
      </c>
      <c r="K228" s="19">
        <f t="shared" si="25"/>
        <v>1.4717362110092789</v>
      </c>
      <c r="M228" s="13" t="s">
        <v>69</v>
      </c>
    </row>
    <row r="229" spans="1:15" x14ac:dyDescent="0.25">
      <c r="A229" s="1">
        <v>179</v>
      </c>
      <c r="B229" s="47">
        <v>45802</v>
      </c>
      <c r="C229" s="66">
        <v>34242200</v>
      </c>
      <c r="D229" s="156">
        <v>84.7</v>
      </c>
      <c r="E229" s="5">
        <v>67.864999999999995</v>
      </c>
      <c r="F229" s="5">
        <v>68.331000000000003</v>
      </c>
      <c r="G229" s="5">
        <f t="shared" si="31"/>
        <v>0.46600000000000819</v>
      </c>
      <c r="H229" s="16">
        <f t="shared" si="30"/>
        <v>0.40066680000000704</v>
      </c>
      <c r="I229" s="16"/>
      <c r="J229" s="16">
        <f t="shared" si="32"/>
        <v>9.1429613432237461E-2</v>
      </c>
      <c r="K229" s="19">
        <f t="shared" si="25"/>
        <v>0.49209641343224453</v>
      </c>
      <c r="M229" s="13" t="s">
        <v>69</v>
      </c>
    </row>
    <row r="230" spans="1:15" x14ac:dyDescent="0.25">
      <c r="A230" s="1">
        <v>180</v>
      </c>
      <c r="B230" s="33"/>
      <c r="C230" s="66">
        <v>34242197</v>
      </c>
      <c r="D230" s="156">
        <v>55.8</v>
      </c>
      <c r="E230" s="5">
        <v>29.646000000000001</v>
      </c>
      <c r="F230" s="5">
        <v>29.93</v>
      </c>
      <c r="G230" s="5"/>
      <c r="H230" s="16">
        <f t="shared" si="30"/>
        <v>0</v>
      </c>
      <c r="I230" s="16">
        <f t="shared" ref="I230:I231" si="33">(((D230*0.015)*12)/7)</f>
        <v>1.4348571428571428</v>
      </c>
      <c r="J230" s="16"/>
      <c r="K230" s="19">
        <f t="shared" si="25"/>
        <v>1.4348571428571428</v>
      </c>
      <c r="M230" s="13" t="s">
        <v>71</v>
      </c>
      <c r="O230" s="12"/>
    </row>
    <row r="231" spans="1:15" x14ac:dyDescent="0.25">
      <c r="A231" s="1">
        <v>181</v>
      </c>
      <c r="B231" s="33"/>
      <c r="C231" s="66">
        <v>34242193</v>
      </c>
      <c r="D231" s="156">
        <v>57</v>
      </c>
      <c r="E231" s="5">
        <v>15.454000000000001</v>
      </c>
      <c r="F231" s="5">
        <v>15.673999999999999</v>
      </c>
      <c r="G231" s="5"/>
      <c r="H231" s="16">
        <f t="shared" si="30"/>
        <v>0</v>
      </c>
      <c r="I231" s="16">
        <f t="shared" si="33"/>
        <v>1.4657142857142857</v>
      </c>
      <c r="J231" s="16"/>
      <c r="K231" s="19">
        <f t="shared" si="25"/>
        <v>1.4657142857142857</v>
      </c>
      <c r="M231" s="13" t="s">
        <v>71</v>
      </c>
      <c r="O231" s="12"/>
    </row>
    <row r="232" spans="1:15" x14ac:dyDescent="0.25">
      <c r="A232" s="1">
        <v>182</v>
      </c>
      <c r="B232" s="33" t="s">
        <v>59</v>
      </c>
      <c r="C232" s="66">
        <v>34242194</v>
      </c>
      <c r="D232" s="156">
        <v>85.8</v>
      </c>
      <c r="E232" s="5">
        <v>48.497999999999998</v>
      </c>
      <c r="F232" s="5">
        <v>49.545000000000002</v>
      </c>
      <c r="G232" s="5">
        <f>F232-E232</f>
        <v>1.0470000000000041</v>
      </c>
      <c r="H232" s="16">
        <f>G232*0.8598</f>
        <v>0.90021060000000352</v>
      </c>
      <c r="I232" s="16"/>
      <c r="J232" s="16">
        <f t="shared" ref="J232:J236" si="34">D232/($E$25-$E$26)*$J$24</f>
        <v>9.2617011009279493E-2</v>
      </c>
      <c r="K232" s="96">
        <f t="shared" si="25"/>
        <v>0.99282761100928307</v>
      </c>
      <c r="M232" s="13" t="s">
        <v>69</v>
      </c>
      <c r="O232" s="12"/>
    </row>
    <row r="233" spans="1:15" x14ac:dyDescent="0.25">
      <c r="A233" s="1" t="s">
        <v>44</v>
      </c>
      <c r="B233" s="33"/>
      <c r="C233" s="66"/>
      <c r="D233" s="156">
        <v>56.5</v>
      </c>
      <c r="E233" s="5"/>
      <c r="F233" s="5"/>
      <c r="G233" s="5"/>
      <c r="H233" s="16"/>
      <c r="I233" s="16"/>
      <c r="J233" s="16">
        <f t="shared" si="34"/>
        <v>6.0989057366250488E-2</v>
      </c>
      <c r="K233" s="16">
        <f t="shared" si="25"/>
        <v>6.0989057366250488E-2</v>
      </c>
      <c r="M233" s="13"/>
      <c r="O233" s="12"/>
    </row>
    <row r="234" spans="1:15" x14ac:dyDescent="0.25">
      <c r="A234" s="1" t="s">
        <v>45</v>
      </c>
      <c r="B234" s="33"/>
      <c r="C234" s="66"/>
      <c r="D234" s="156">
        <v>96</v>
      </c>
      <c r="E234" s="5"/>
      <c r="F234" s="5"/>
      <c r="G234" s="5"/>
      <c r="H234" s="16"/>
      <c r="I234" s="16"/>
      <c r="J234" s="16">
        <f t="shared" si="34"/>
        <v>0.10362742490548756</v>
      </c>
      <c r="K234" s="16">
        <f t="shared" si="25"/>
        <v>0.10362742490548756</v>
      </c>
      <c r="M234" s="13"/>
      <c r="O234" s="12"/>
    </row>
    <row r="235" spans="1:15" x14ac:dyDescent="0.25">
      <c r="A235" s="1" t="s">
        <v>46</v>
      </c>
      <c r="B235" s="33"/>
      <c r="C235" s="66"/>
      <c r="D235" s="156">
        <v>103.3</v>
      </c>
      <c r="E235" s="5"/>
      <c r="F235" s="5"/>
      <c r="G235" s="5"/>
      <c r="H235" s="16"/>
      <c r="I235" s="16"/>
      <c r="J235" s="16">
        <f t="shared" si="34"/>
        <v>0.11150742700767566</v>
      </c>
      <c r="K235" s="16">
        <f t="shared" si="25"/>
        <v>0.11150742700767566</v>
      </c>
      <c r="M235" s="13"/>
      <c r="O235" s="12"/>
    </row>
    <row r="236" spans="1:15" ht="15.75" thickBot="1" x14ac:dyDescent="0.3">
      <c r="A236" s="15" t="s">
        <v>47</v>
      </c>
      <c r="B236" s="35"/>
      <c r="C236" s="68"/>
      <c r="D236" s="90">
        <v>43.4</v>
      </c>
      <c r="E236" s="8"/>
      <c r="F236" s="8"/>
      <c r="G236" s="8"/>
      <c r="H236" s="91"/>
      <c r="I236" s="91"/>
      <c r="J236" s="91">
        <f t="shared" si="34"/>
        <v>4.6848231676022492E-2</v>
      </c>
      <c r="K236" s="91">
        <f t="shared" si="25"/>
        <v>4.6848231676022492E-2</v>
      </c>
      <c r="M236" s="13"/>
      <c r="O236" s="12"/>
    </row>
    <row r="237" spans="1:15" ht="15.75" thickBot="1" x14ac:dyDescent="0.3">
      <c r="A237" s="272" t="s">
        <v>78</v>
      </c>
      <c r="B237" s="273"/>
      <c r="C237" s="273"/>
      <c r="D237" s="200">
        <f>SUM(D181:D236)</f>
        <v>3971.8000000000015</v>
      </c>
      <c r="E237" s="274" t="s">
        <v>79</v>
      </c>
      <c r="F237" s="274"/>
      <c r="G237" s="274"/>
      <c r="H237" s="201">
        <f>SUM(H181:H232)</f>
        <v>19.282984199999994</v>
      </c>
      <c r="I237" s="201">
        <f>SUM(I181:I232)</f>
        <v>12.347999999999999</v>
      </c>
      <c r="J237" s="201">
        <f>SUM(J181:J236)</f>
        <v>3.7690158000000022</v>
      </c>
      <c r="K237" s="202">
        <f>SUM(K181:K236)</f>
        <v>35.399999999999991</v>
      </c>
      <c r="M237" s="13"/>
    </row>
    <row r="238" spans="1:15" x14ac:dyDescent="0.25">
      <c r="A238" s="9">
        <v>183</v>
      </c>
      <c r="B238" s="190">
        <v>46272</v>
      </c>
      <c r="C238" s="69">
        <v>34242339</v>
      </c>
      <c r="D238" s="155">
        <v>117.2</v>
      </c>
      <c r="E238" s="6">
        <v>64.091999999999999</v>
      </c>
      <c r="F238" s="6">
        <v>64.091999999999999</v>
      </c>
      <c r="G238" s="5">
        <f>F238-E238</f>
        <v>0</v>
      </c>
      <c r="H238" s="19">
        <f t="shared" si="30"/>
        <v>0</v>
      </c>
      <c r="I238" s="16">
        <f>$H$307/$D$307*D238</f>
        <v>0.62689646147131228</v>
      </c>
      <c r="J238" s="16"/>
      <c r="K238" s="19">
        <f>H238+I238+J238</f>
        <v>0.62689646147131228</v>
      </c>
      <c r="M238" s="13" t="s">
        <v>69</v>
      </c>
    </row>
    <row r="239" spans="1:15" x14ac:dyDescent="0.25">
      <c r="A239" s="1">
        <v>184</v>
      </c>
      <c r="B239" s="190">
        <v>47017</v>
      </c>
      <c r="C239" s="49" t="s">
        <v>163</v>
      </c>
      <c r="D239" s="156">
        <v>58.1</v>
      </c>
      <c r="E239" s="5">
        <v>0</v>
      </c>
      <c r="F239" s="5">
        <v>0.88700000000000001</v>
      </c>
      <c r="G239" s="5"/>
      <c r="H239" s="16">
        <f>F239-E239</f>
        <v>0.88700000000000001</v>
      </c>
      <c r="I239" s="16"/>
      <c r="J239" s="16"/>
      <c r="K239" s="19">
        <f t="shared" ref="K239:K303" si="35">H239+I239+J239</f>
        <v>0.88700000000000001</v>
      </c>
      <c r="M239" s="13" t="s">
        <v>69</v>
      </c>
    </row>
    <row r="240" spans="1:15" x14ac:dyDescent="0.25">
      <c r="A240" s="1">
        <v>185</v>
      </c>
      <c r="B240" s="33"/>
      <c r="C240" s="66">
        <v>34242160</v>
      </c>
      <c r="D240" s="156">
        <v>58.4</v>
      </c>
      <c r="E240" s="5">
        <v>14.632</v>
      </c>
      <c r="F240" s="5">
        <v>14.632</v>
      </c>
      <c r="G240" s="5"/>
      <c r="H240" s="16">
        <f t="shared" si="30"/>
        <v>0</v>
      </c>
      <c r="I240" s="16">
        <f>(((D240*0.015)*12)/7)</f>
        <v>1.5017142857142858</v>
      </c>
      <c r="J240" s="16">
        <f>D240/($E$32-$E$34)*$J$31</f>
        <v>-0.28534758558474543</v>
      </c>
      <c r="K240" s="19">
        <f t="shared" si="35"/>
        <v>1.2163667001295404</v>
      </c>
      <c r="M240" s="13" t="s">
        <v>71</v>
      </c>
    </row>
    <row r="241" spans="1:13" x14ac:dyDescent="0.25">
      <c r="A241" s="1">
        <v>186</v>
      </c>
      <c r="B241" s="47">
        <v>46283</v>
      </c>
      <c r="C241" s="66">
        <v>43441091</v>
      </c>
      <c r="D241" s="156">
        <v>46.7</v>
      </c>
      <c r="E241" s="5">
        <v>38.429000000000002</v>
      </c>
      <c r="F241" s="5">
        <v>39.520000000000003</v>
      </c>
      <c r="G241" s="5">
        <f>F241-E241</f>
        <v>1.0910000000000011</v>
      </c>
      <c r="H241" s="16">
        <f>G241*0.8598</f>
        <v>0.93804180000000092</v>
      </c>
      <c r="I241" s="16"/>
      <c r="J241" s="16"/>
      <c r="K241" s="19">
        <f t="shared" si="35"/>
        <v>0.93804180000000092</v>
      </c>
      <c r="M241" s="13" t="s">
        <v>69</v>
      </c>
    </row>
    <row r="242" spans="1:13" x14ac:dyDescent="0.25">
      <c r="A242" s="1">
        <v>187</v>
      </c>
      <c r="B242" s="47">
        <v>45654</v>
      </c>
      <c r="C242" s="66">
        <v>34242342</v>
      </c>
      <c r="D242" s="156">
        <v>77.400000000000006</v>
      </c>
      <c r="E242" s="5">
        <v>51.656999999999996</v>
      </c>
      <c r="F242" s="5">
        <v>52.213999999999999</v>
      </c>
      <c r="G242" s="5">
        <f>F242-E242</f>
        <v>0.55700000000000216</v>
      </c>
      <c r="H242" s="16">
        <f>G242*0.8598</f>
        <v>0.47890860000000185</v>
      </c>
      <c r="I242" s="19"/>
      <c r="J242" s="16"/>
      <c r="K242" s="19">
        <f t="shared" si="35"/>
        <v>0.47890860000000185</v>
      </c>
      <c r="M242" s="13" t="s">
        <v>69</v>
      </c>
    </row>
    <row r="243" spans="1:13" x14ac:dyDescent="0.25">
      <c r="A243" s="1">
        <v>188</v>
      </c>
      <c r="B243" s="34"/>
      <c r="C243" s="66">
        <v>34242334</v>
      </c>
      <c r="D243" s="156">
        <v>117.2</v>
      </c>
      <c r="E243" s="5">
        <v>48.329000000000001</v>
      </c>
      <c r="F243" s="5">
        <v>49.820999999999998</v>
      </c>
      <c r="G243" s="5"/>
      <c r="H243" s="16">
        <f t="shared" si="30"/>
        <v>0</v>
      </c>
      <c r="I243" s="16">
        <f>(((D243*0.015)*12)/7)</f>
        <v>3.0137142857142858</v>
      </c>
      <c r="J243" s="16">
        <f>D243/($E$32-$E$34)*$J$31</f>
        <v>-0.57264960668719456</v>
      </c>
      <c r="K243" s="19">
        <f t="shared" si="35"/>
        <v>2.4410646790270913</v>
      </c>
      <c r="M243" s="13" t="s">
        <v>71</v>
      </c>
    </row>
    <row r="244" spans="1:13" x14ac:dyDescent="0.25">
      <c r="A244" s="1">
        <v>189</v>
      </c>
      <c r="B244" s="47">
        <v>45566</v>
      </c>
      <c r="C244" s="49" t="s">
        <v>89</v>
      </c>
      <c r="D244" s="156">
        <v>58.7</v>
      </c>
      <c r="E244" s="39">
        <v>7.7469999999999999</v>
      </c>
      <c r="F244" s="39">
        <v>8.4009999999999998</v>
      </c>
      <c r="G244" s="5"/>
      <c r="H244" s="16">
        <f>F244-E244</f>
        <v>0.65399999999999991</v>
      </c>
      <c r="I244" s="19"/>
      <c r="J244" s="16"/>
      <c r="K244" s="19">
        <f t="shared" si="35"/>
        <v>0.65399999999999991</v>
      </c>
      <c r="M244" s="13" t="s">
        <v>69</v>
      </c>
    </row>
    <row r="245" spans="1:13" x14ac:dyDescent="0.25">
      <c r="A245" s="1">
        <v>190</v>
      </c>
      <c r="B245" s="48">
        <v>45704</v>
      </c>
      <c r="C245" s="66">
        <v>34242340</v>
      </c>
      <c r="D245" s="156">
        <v>58.2</v>
      </c>
      <c r="E245" s="5">
        <v>40.290999999999997</v>
      </c>
      <c r="F245" s="5">
        <v>41.58</v>
      </c>
      <c r="G245" s="5">
        <f>F245-E245</f>
        <v>1.2890000000000015</v>
      </c>
      <c r="H245" s="16">
        <f t="shared" si="30"/>
        <v>1.1082822000000012</v>
      </c>
      <c r="I245" s="19"/>
      <c r="J245" s="16"/>
      <c r="K245" s="19">
        <f t="shared" si="35"/>
        <v>1.1082822000000012</v>
      </c>
      <c r="M245" s="13" t="s">
        <v>69</v>
      </c>
    </row>
    <row r="246" spans="1:13" x14ac:dyDescent="0.25">
      <c r="A246" s="1">
        <v>191</v>
      </c>
      <c r="B246" s="47">
        <v>45668</v>
      </c>
      <c r="C246" s="10" t="s">
        <v>93</v>
      </c>
      <c r="D246" s="156">
        <v>46.6</v>
      </c>
      <c r="E246" s="5">
        <v>0.24199999999999999</v>
      </c>
      <c r="F246" s="5">
        <v>0.24199999999999999</v>
      </c>
      <c r="G246" s="39"/>
      <c r="H246" s="16">
        <f>F246-E246</f>
        <v>0</v>
      </c>
      <c r="I246" s="16"/>
      <c r="J246" s="16"/>
      <c r="K246" s="19">
        <f>H246+I246+J246</f>
        <v>0</v>
      </c>
      <c r="M246" s="13" t="s">
        <v>69</v>
      </c>
    </row>
    <row r="247" spans="1:13" x14ac:dyDescent="0.25">
      <c r="A247" s="1">
        <v>192</v>
      </c>
      <c r="B247" s="33" t="s">
        <v>59</v>
      </c>
      <c r="C247" s="10" t="s">
        <v>80</v>
      </c>
      <c r="D247" s="156">
        <v>77.3</v>
      </c>
      <c r="E247" s="39">
        <v>3.097</v>
      </c>
      <c r="F247" s="39">
        <v>3.2309999999999999</v>
      </c>
      <c r="G247" s="5"/>
      <c r="H247" s="16">
        <f>F247-E247</f>
        <v>0.1339999999999999</v>
      </c>
      <c r="I247" s="19"/>
      <c r="J247" s="16"/>
      <c r="K247" s="19">
        <f>H247+I247+J247</f>
        <v>0.1339999999999999</v>
      </c>
      <c r="M247" s="13" t="s">
        <v>69</v>
      </c>
    </row>
    <row r="248" spans="1:13" x14ac:dyDescent="0.25">
      <c r="A248" s="1">
        <v>193</v>
      </c>
      <c r="B248" s="47">
        <v>45741</v>
      </c>
      <c r="C248" s="66">
        <v>34242324</v>
      </c>
      <c r="D248" s="156">
        <v>116.7</v>
      </c>
      <c r="E248" s="5">
        <v>11.222</v>
      </c>
      <c r="F248" s="5">
        <v>11.657999999999999</v>
      </c>
      <c r="G248" s="5">
        <f>F248-E248</f>
        <v>0.43599999999999994</v>
      </c>
      <c r="H248" s="16">
        <f t="shared" si="30"/>
        <v>0.37487279999999995</v>
      </c>
      <c r="I248" s="16"/>
      <c r="J248" s="16"/>
      <c r="K248" s="19">
        <f t="shared" si="35"/>
        <v>0.37487279999999995</v>
      </c>
      <c r="M248" s="13" t="s">
        <v>69</v>
      </c>
    </row>
    <row r="249" spans="1:13" x14ac:dyDescent="0.25">
      <c r="A249" s="42">
        <v>194</v>
      </c>
      <c r="B249" s="34"/>
      <c r="C249" s="70">
        <v>34242331</v>
      </c>
      <c r="D249" s="156">
        <v>58</v>
      </c>
      <c r="E249" s="5">
        <v>4.4710000000000001</v>
      </c>
      <c r="F249" s="5">
        <v>4.4710000000000001</v>
      </c>
      <c r="G249" s="5"/>
      <c r="H249" s="16">
        <f t="shared" si="30"/>
        <v>0</v>
      </c>
      <c r="I249" s="16">
        <f>(((D249*0.015)*12)/7)</f>
        <v>1.4914285714285713</v>
      </c>
      <c r="J249" s="16">
        <f>D249/($E$32-$E$34)*$J$31</f>
        <v>-0.28339315006704169</v>
      </c>
      <c r="K249" s="19">
        <f t="shared" si="35"/>
        <v>1.2080354213615296</v>
      </c>
      <c r="M249" s="13" t="s">
        <v>71</v>
      </c>
    </row>
    <row r="250" spans="1:13" x14ac:dyDescent="0.25">
      <c r="A250" s="1">
        <v>195</v>
      </c>
      <c r="B250" s="47">
        <v>45553</v>
      </c>
      <c r="C250" s="10" t="s">
        <v>98</v>
      </c>
      <c r="D250" s="156">
        <v>58.1</v>
      </c>
      <c r="E250" s="39">
        <v>2.99</v>
      </c>
      <c r="F250" s="39">
        <v>3.0579999999999998</v>
      </c>
      <c r="G250" s="5"/>
      <c r="H250" s="16">
        <f>F250-E250</f>
        <v>6.7999999999999616E-2</v>
      </c>
      <c r="I250" s="19"/>
      <c r="J250" s="16"/>
      <c r="K250" s="19">
        <f>H250+I250+J250</f>
        <v>6.7999999999999616E-2</v>
      </c>
      <c r="M250" s="13" t="s">
        <v>69</v>
      </c>
    </row>
    <row r="251" spans="1:13" x14ac:dyDescent="0.25">
      <c r="A251" s="1">
        <v>196</v>
      </c>
      <c r="B251" s="47">
        <v>45553</v>
      </c>
      <c r="C251" s="10" t="s">
        <v>99</v>
      </c>
      <c r="D251" s="156">
        <v>46.7</v>
      </c>
      <c r="E251" s="39">
        <v>1.778</v>
      </c>
      <c r="F251" s="39">
        <v>2.2360000000000002</v>
      </c>
      <c r="G251" s="5"/>
      <c r="H251" s="16">
        <f>F251-E251</f>
        <v>0.45800000000000018</v>
      </c>
      <c r="I251" s="19"/>
      <c r="J251" s="16"/>
      <c r="K251" s="19">
        <f t="shared" si="35"/>
        <v>0.45800000000000018</v>
      </c>
      <c r="L251" s="24"/>
      <c r="M251" s="13" t="s">
        <v>69</v>
      </c>
    </row>
    <row r="252" spans="1:13" x14ac:dyDescent="0.25">
      <c r="A252" s="9">
        <v>197</v>
      </c>
      <c r="B252" s="105">
        <v>45955</v>
      </c>
      <c r="C252" s="69" t="s">
        <v>114</v>
      </c>
      <c r="D252" s="156">
        <v>77.5</v>
      </c>
      <c r="E252" s="39">
        <v>7.4930000000000003</v>
      </c>
      <c r="F252" s="39">
        <v>7.88</v>
      </c>
      <c r="G252" s="5"/>
      <c r="H252" s="16">
        <f>F252-E252</f>
        <v>0.38699999999999957</v>
      </c>
      <c r="I252" s="16"/>
      <c r="J252" s="16"/>
      <c r="K252" s="19">
        <f t="shared" si="35"/>
        <v>0.38699999999999957</v>
      </c>
      <c r="L252" s="24"/>
      <c r="M252" s="13" t="s">
        <v>69</v>
      </c>
    </row>
    <row r="253" spans="1:13" x14ac:dyDescent="0.25">
      <c r="A253" s="1">
        <v>198</v>
      </c>
      <c r="B253" s="47">
        <v>45900</v>
      </c>
      <c r="C253" s="66">
        <v>34242333</v>
      </c>
      <c r="D253" s="156">
        <v>116.5</v>
      </c>
      <c r="E253" s="5">
        <v>39.832999999999998</v>
      </c>
      <c r="F253" s="5">
        <v>40.478000000000002</v>
      </c>
      <c r="G253" s="5">
        <f>F253-E253</f>
        <v>0.64500000000000313</v>
      </c>
      <c r="H253" s="16">
        <f t="shared" ref="H253:H274" si="36">G253*0.8598</f>
        <v>0.5545710000000027</v>
      </c>
      <c r="I253" s="19"/>
      <c r="J253" s="16"/>
      <c r="K253" s="19">
        <f t="shared" si="35"/>
        <v>0.5545710000000027</v>
      </c>
      <c r="L253" s="24"/>
      <c r="M253" s="13" t="s">
        <v>69</v>
      </c>
    </row>
    <row r="254" spans="1:13" x14ac:dyDescent="0.25">
      <c r="A254" s="1">
        <v>199</v>
      </c>
      <c r="B254" s="47">
        <v>46276</v>
      </c>
      <c r="C254" s="66">
        <v>34242330</v>
      </c>
      <c r="D254" s="156">
        <v>58.8</v>
      </c>
      <c r="E254" s="5">
        <v>46.789000000000001</v>
      </c>
      <c r="F254" s="5">
        <v>47.695999999999998</v>
      </c>
      <c r="G254" s="5">
        <f>F254-E254</f>
        <v>0.90699999999999648</v>
      </c>
      <c r="H254" s="16">
        <f t="shared" si="36"/>
        <v>0.77983859999999694</v>
      </c>
      <c r="I254" s="16"/>
      <c r="J254" s="16"/>
      <c r="K254" s="19">
        <f t="shared" si="35"/>
        <v>0.77983859999999694</v>
      </c>
      <c r="M254" s="13" t="s">
        <v>69</v>
      </c>
    </row>
    <row r="255" spans="1:13" x14ac:dyDescent="0.25">
      <c r="A255" s="1">
        <v>200</v>
      </c>
      <c r="B255" s="47">
        <v>45873</v>
      </c>
      <c r="C255" s="66">
        <v>34242329</v>
      </c>
      <c r="D255" s="156">
        <v>58.6</v>
      </c>
      <c r="E255" s="5">
        <v>7.976</v>
      </c>
      <c r="F255" s="5">
        <v>8.6110000000000007</v>
      </c>
      <c r="G255" s="5">
        <f>F255-E255</f>
        <v>0.63500000000000068</v>
      </c>
      <c r="H255" s="16">
        <f t="shared" si="36"/>
        <v>0.5459730000000006</v>
      </c>
      <c r="I255" s="16"/>
      <c r="J255" s="16"/>
      <c r="K255" s="19">
        <f t="shared" si="35"/>
        <v>0.5459730000000006</v>
      </c>
      <c r="M255" s="13" t="s">
        <v>69</v>
      </c>
    </row>
    <row r="256" spans="1:13" x14ac:dyDescent="0.25">
      <c r="A256" s="1">
        <v>201</v>
      </c>
      <c r="B256" s="47">
        <v>45650</v>
      </c>
      <c r="C256" s="66">
        <v>34242326</v>
      </c>
      <c r="D256" s="156">
        <v>46.4</v>
      </c>
      <c r="E256" s="5">
        <v>36.167999999999999</v>
      </c>
      <c r="F256" s="5">
        <v>36.716000000000001</v>
      </c>
      <c r="G256" s="5">
        <f>F256-E256</f>
        <v>0.54800000000000182</v>
      </c>
      <c r="H256" s="16">
        <f>G256*0.8598</f>
        <v>0.47117040000000154</v>
      </c>
      <c r="I256" s="19"/>
      <c r="J256" s="16"/>
      <c r="K256" s="19">
        <f t="shared" si="35"/>
        <v>0.47117040000000154</v>
      </c>
      <c r="M256" s="13" t="s">
        <v>69</v>
      </c>
    </row>
    <row r="257" spans="1:13" x14ac:dyDescent="0.25">
      <c r="A257" s="1">
        <v>202</v>
      </c>
      <c r="B257" s="33" t="s">
        <v>59</v>
      </c>
      <c r="C257" s="94" t="s">
        <v>60</v>
      </c>
      <c r="D257" s="156">
        <v>77.5</v>
      </c>
      <c r="E257" s="39">
        <v>16.765999999999998</v>
      </c>
      <c r="F257" s="39">
        <v>17.905000000000001</v>
      </c>
      <c r="G257" s="39"/>
      <c r="H257" s="16">
        <f>F257-E257</f>
        <v>1.1390000000000029</v>
      </c>
      <c r="I257" s="19"/>
      <c r="J257" s="16"/>
      <c r="K257" s="19">
        <f>H257+I257+J257</f>
        <v>1.1390000000000029</v>
      </c>
      <c r="M257" s="13" t="s">
        <v>69</v>
      </c>
    </row>
    <row r="258" spans="1:13" x14ac:dyDescent="0.25">
      <c r="A258" s="1">
        <v>203</v>
      </c>
      <c r="B258" s="33"/>
      <c r="C258" s="66">
        <v>43441405</v>
      </c>
      <c r="D258" s="156">
        <v>117.4</v>
      </c>
      <c r="E258" s="5">
        <v>63.005000000000003</v>
      </c>
      <c r="F258" s="5">
        <v>64.319000000000003</v>
      </c>
      <c r="G258" s="5"/>
      <c r="H258" s="16">
        <f t="shared" si="36"/>
        <v>0</v>
      </c>
      <c r="I258" s="16">
        <f>(((D258*0.015)*12)/7)</f>
        <v>3.0188571428571431</v>
      </c>
      <c r="J258" s="16">
        <f t="shared" ref="J258:J262" si="37">D258/($E$32-$E$34)*$J$31</f>
        <v>-0.5736268244460464</v>
      </c>
      <c r="K258" s="19">
        <f t="shared" si="35"/>
        <v>2.4452303184110966</v>
      </c>
      <c r="M258" s="13" t="s">
        <v>71</v>
      </c>
    </row>
    <row r="259" spans="1:13" x14ac:dyDescent="0.25">
      <c r="A259" s="1">
        <v>204</v>
      </c>
      <c r="B259" s="33"/>
      <c r="C259" s="66">
        <v>43441406</v>
      </c>
      <c r="D259" s="156">
        <v>57.9</v>
      </c>
      <c r="E259" s="5">
        <v>7.3760000000000003</v>
      </c>
      <c r="F259" s="5">
        <v>7.3760000000000003</v>
      </c>
      <c r="G259" s="5"/>
      <c r="H259" s="16">
        <f t="shared" si="36"/>
        <v>0</v>
      </c>
      <c r="I259" s="16">
        <f t="shared" ref="I259:I262" si="38">(((D259*0.015)*12)/7)</f>
        <v>1.4888571428571427</v>
      </c>
      <c r="J259" s="16">
        <f t="shared" si="37"/>
        <v>-0.28290454118761577</v>
      </c>
      <c r="K259" s="19">
        <f t="shared" si="35"/>
        <v>1.205952601669527</v>
      </c>
      <c r="M259" s="13" t="s">
        <v>71</v>
      </c>
    </row>
    <row r="260" spans="1:13" x14ac:dyDescent="0.25">
      <c r="A260" s="1">
        <v>205</v>
      </c>
      <c r="B260" s="47">
        <v>46287</v>
      </c>
      <c r="C260" s="66">
        <v>43441089</v>
      </c>
      <c r="D260" s="156">
        <v>58.3</v>
      </c>
      <c r="E260" s="5">
        <v>35.311999999999998</v>
      </c>
      <c r="F260" s="5">
        <v>35.625</v>
      </c>
      <c r="G260" s="5">
        <f>F260-E260</f>
        <v>0.31300000000000239</v>
      </c>
      <c r="H260" s="16">
        <f t="shared" si="36"/>
        <v>0.26911740000000206</v>
      </c>
      <c r="I260" s="16"/>
      <c r="J260" s="16"/>
      <c r="K260" s="19">
        <f t="shared" si="35"/>
        <v>0.26911740000000206</v>
      </c>
      <c r="M260" s="13" t="s">
        <v>69</v>
      </c>
    </row>
    <row r="261" spans="1:13" x14ac:dyDescent="0.25">
      <c r="A261" s="1">
        <v>206</v>
      </c>
      <c r="B261" s="34"/>
      <c r="C261" s="66">
        <v>20242434</v>
      </c>
      <c r="D261" s="156">
        <v>46.3</v>
      </c>
      <c r="E261" s="5">
        <v>18.876999999999999</v>
      </c>
      <c r="F261" s="5">
        <v>19.893999999999998</v>
      </c>
      <c r="G261" s="5"/>
      <c r="H261" s="16">
        <f t="shared" si="36"/>
        <v>0</v>
      </c>
      <c r="I261" s="16">
        <f t="shared" si="38"/>
        <v>1.1905714285714286</v>
      </c>
      <c r="J261" s="16">
        <f t="shared" si="37"/>
        <v>-0.2262259111742074</v>
      </c>
      <c r="K261" s="19">
        <f t="shared" si="35"/>
        <v>0.96434551739722119</v>
      </c>
      <c r="M261" s="13" t="s">
        <v>71</v>
      </c>
    </row>
    <row r="262" spans="1:13" x14ac:dyDescent="0.25">
      <c r="A262" s="1">
        <v>207</v>
      </c>
      <c r="B262" s="33"/>
      <c r="C262" s="66">
        <v>43441407</v>
      </c>
      <c r="D262" s="156">
        <v>77.900000000000006</v>
      </c>
      <c r="E262" s="5">
        <v>29.654</v>
      </c>
      <c r="F262" s="5">
        <v>30.984000000000002</v>
      </c>
      <c r="G262" s="5"/>
      <c r="H262" s="16">
        <f t="shared" si="36"/>
        <v>0</v>
      </c>
      <c r="I262" s="16">
        <f t="shared" si="38"/>
        <v>2.0031428571428576</v>
      </c>
      <c r="J262" s="16">
        <f t="shared" si="37"/>
        <v>-0.38062631707280253</v>
      </c>
      <c r="K262" s="19">
        <f t="shared" si="35"/>
        <v>1.622516540070055</v>
      </c>
      <c r="M262" s="13" t="s">
        <v>71</v>
      </c>
    </row>
    <row r="263" spans="1:13" x14ac:dyDescent="0.25">
      <c r="A263" s="1">
        <v>208</v>
      </c>
      <c r="B263" s="47">
        <v>45915</v>
      </c>
      <c r="C263" s="66">
        <v>43441412</v>
      </c>
      <c r="D263" s="156">
        <v>117.9</v>
      </c>
      <c r="E263" s="5">
        <v>50.902999999999999</v>
      </c>
      <c r="F263" s="5">
        <v>51.813000000000002</v>
      </c>
      <c r="G263" s="5">
        <f>F263-E263</f>
        <v>0.91000000000000369</v>
      </c>
      <c r="H263" s="16">
        <f>G263*0.8598</f>
        <v>0.78241800000000317</v>
      </c>
      <c r="I263" s="16"/>
      <c r="J263" s="16"/>
      <c r="K263" s="19">
        <f>H263+I263+J263</f>
        <v>0.78241800000000317</v>
      </c>
      <c r="M263" s="13" t="s">
        <v>69</v>
      </c>
    </row>
    <row r="264" spans="1:13" x14ac:dyDescent="0.25">
      <c r="A264" s="1">
        <v>209</v>
      </c>
      <c r="B264" s="53"/>
      <c r="C264" s="66">
        <v>43441411</v>
      </c>
      <c r="D264" s="156">
        <v>58.2</v>
      </c>
      <c r="E264" s="5">
        <v>28.274999999999999</v>
      </c>
      <c r="F264" s="5">
        <v>29.055</v>
      </c>
      <c r="G264" s="5"/>
      <c r="H264" s="16">
        <f t="shared" si="36"/>
        <v>0</v>
      </c>
      <c r="I264" s="16">
        <f>(((D264*0.015)*12)/7)</f>
        <v>1.4965714285714284</v>
      </c>
      <c r="J264" s="16">
        <f t="shared" ref="J264" si="39">D264/($E$32-$E$34)*$J$31</f>
        <v>-0.28437036782589353</v>
      </c>
      <c r="K264" s="19">
        <f t="shared" si="35"/>
        <v>1.2122010607455349</v>
      </c>
      <c r="M264" s="13" t="s">
        <v>71</v>
      </c>
    </row>
    <row r="265" spans="1:13" x14ac:dyDescent="0.25">
      <c r="A265" s="1">
        <v>210</v>
      </c>
      <c r="B265" s="47">
        <v>46230</v>
      </c>
      <c r="C265" s="66" t="s">
        <v>151</v>
      </c>
      <c r="D265" s="156">
        <v>58.6</v>
      </c>
      <c r="E265" s="5">
        <v>2E-3</v>
      </c>
      <c r="F265" s="5">
        <v>9.0999999999999998E-2</v>
      </c>
      <c r="G265" s="5"/>
      <c r="H265" s="16">
        <f>F265-E265</f>
        <v>8.8999999999999996E-2</v>
      </c>
      <c r="I265" s="16"/>
      <c r="J265" s="16"/>
      <c r="K265" s="19">
        <f t="shared" si="35"/>
        <v>8.8999999999999996E-2</v>
      </c>
      <c r="M265" s="13" t="s">
        <v>69</v>
      </c>
    </row>
    <row r="266" spans="1:13" x14ac:dyDescent="0.25">
      <c r="A266" s="1">
        <v>211</v>
      </c>
      <c r="B266" s="47">
        <v>46287</v>
      </c>
      <c r="C266" s="66">
        <v>43441409</v>
      </c>
      <c r="D266" s="156">
        <v>46.7</v>
      </c>
      <c r="E266" s="5">
        <v>31.658999999999999</v>
      </c>
      <c r="F266" s="5">
        <v>32.185000000000002</v>
      </c>
      <c r="G266" s="5">
        <f>F266-E266</f>
        <v>0.52600000000000335</v>
      </c>
      <c r="H266" s="16">
        <f t="shared" si="36"/>
        <v>0.4522548000000029</v>
      </c>
      <c r="I266" s="16"/>
      <c r="J266" s="16"/>
      <c r="K266" s="19">
        <f t="shared" si="35"/>
        <v>0.4522548000000029</v>
      </c>
      <c r="M266" s="13" t="s">
        <v>69</v>
      </c>
    </row>
    <row r="267" spans="1:13" x14ac:dyDescent="0.25">
      <c r="A267" s="1">
        <v>212</v>
      </c>
      <c r="B267" s="47">
        <v>46306</v>
      </c>
      <c r="C267" s="66">
        <v>43441410</v>
      </c>
      <c r="D267" s="156">
        <v>78.599999999999994</v>
      </c>
      <c r="E267" s="5">
        <v>43.356000000000002</v>
      </c>
      <c r="F267" s="5">
        <v>43.548000000000002</v>
      </c>
      <c r="G267" s="5">
        <f>F267-E267</f>
        <v>0.19200000000000017</v>
      </c>
      <c r="H267" s="16">
        <f t="shared" si="36"/>
        <v>0.16508160000000016</v>
      </c>
      <c r="I267" s="16"/>
      <c r="J267" s="16"/>
      <c r="K267" s="19">
        <f t="shared" si="35"/>
        <v>0.16508160000000016</v>
      </c>
      <c r="M267" s="13" t="s">
        <v>69</v>
      </c>
    </row>
    <row r="268" spans="1:13" x14ac:dyDescent="0.25">
      <c r="A268" s="1">
        <v>213</v>
      </c>
      <c r="B268" s="47">
        <v>45803</v>
      </c>
      <c r="C268" s="66">
        <v>43441403</v>
      </c>
      <c r="D268" s="156">
        <v>117.8</v>
      </c>
      <c r="E268" s="5">
        <v>50.582000000000001</v>
      </c>
      <c r="F268" s="5">
        <v>51.243000000000002</v>
      </c>
      <c r="G268" s="5">
        <f>F268-E268</f>
        <v>0.66100000000000136</v>
      </c>
      <c r="H268" s="16">
        <f t="shared" si="36"/>
        <v>0.56832780000000116</v>
      </c>
      <c r="I268" s="19"/>
      <c r="J268" s="16"/>
      <c r="K268" s="19">
        <f t="shared" si="35"/>
        <v>0.56832780000000116</v>
      </c>
      <c r="M268" s="13" t="s">
        <v>69</v>
      </c>
    </row>
    <row r="269" spans="1:13" x14ac:dyDescent="0.25">
      <c r="A269" s="1">
        <v>214</v>
      </c>
      <c r="B269" s="33"/>
      <c r="C269" s="66">
        <v>43441398</v>
      </c>
      <c r="D269" s="156">
        <v>57.8</v>
      </c>
      <c r="E269" s="5">
        <v>16.257000000000001</v>
      </c>
      <c r="F269" s="5">
        <v>16.306999999999999</v>
      </c>
      <c r="G269" s="5"/>
      <c r="H269" s="16">
        <f t="shared" si="36"/>
        <v>0</v>
      </c>
      <c r="I269" s="16">
        <f>(((D269*0.015)*12)/7)</f>
        <v>1.486285714285714</v>
      </c>
      <c r="J269" s="16">
        <f t="shared" ref="J269" si="40">D269/($E$32-$E$34)*$J$31</f>
        <v>-0.28241593230818979</v>
      </c>
      <c r="K269" s="19">
        <f t="shared" si="35"/>
        <v>1.2038697819775241</v>
      </c>
      <c r="M269" s="13" t="s">
        <v>71</v>
      </c>
    </row>
    <row r="270" spans="1:13" x14ac:dyDescent="0.25">
      <c r="A270" s="1">
        <v>215</v>
      </c>
      <c r="B270" s="47">
        <v>46269</v>
      </c>
      <c r="C270" s="66">
        <v>43441413</v>
      </c>
      <c r="D270" s="156">
        <v>58.8</v>
      </c>
      <c r="E270" s="5">
        <v>29.507000000000001</v>
      </c>
      <c r="F270" s="5">
        <v>30.106999999999999</v>
      </c>
      <c r="G270" s="5">
        <f>F270-E270</f>
        <v>0.59999999999999787</v>
      </c>
      <c r="H270" s="16">
        <f t="shared" si="36"/>
        <v>0.51587999999999812</v>
      </c>
      <c r="I270" s="16"/>
      <c r="J270" s="16"/>
      <c r="K270" s="19">
        <f t="shared" si="35"/>
        <v>0.51587999999999812</v>
      </c>
      <c r="M270" s="13" t="s">
        <v>69</v>
      </c>
    </row>
    <row r="271" spans="1:13" x14ac:dyDescent="0.25">
      <c r="A271" s="1">
        <v>216</v>
      </c>
      <c r="B271" s="47">
        <v>45939</v>
      </c>
      <c r="C271" s="66">
        <v>43441401</v>
      </c>
      <c r="D271" s="156">
        <v>46.6</v>
      </c>
      <c r="E271" s="5">
        <v>42.192999999999998</v>
      </c>
      <c r="F271" s="5">
        <v>42.816000000000003</v>
      </c>
      <c r="G271" s="5">
        <f>F271-E271</f>
        <v>0.62300000000000466</v>
      </c>
      <c r="H271" s="16">
        <f t="shared" si="36"/>
        <v>0.535655400000004</v>
      </c>
      <c r="I271" s="19"/>
      <c r="J271" s="16"/>
      <c r="K271" s="19">
        <f t="shared" si="35"/>
        <v>0.535655400000004</v>
      </c>
      <c r="M271" s="13" t="s">
        <v>69</v>
      </c>
    </row>
    <row r="272" spans="1:13" x14ac:dyDescent="0.25">
      <c r="A272" s="1">
        <v>217</v>
      </c>
      <c r="B272" s="33"/>
      <c r="C272" s="66">
        <v>43441404</v>
      </c>
      <c r="D272" s="156">
        <v>78.400000000000006</v>
      </c>
      <c r="E272" s="5">
        <v>40.923999999999999</v>
      </c>
      <c r="F272" s="5">
        <v>41.945</v>
      </c>
      <c r="G272" s="5"/>
      <c r="H272" s="16">
        <f t="shared" si="36"/>
        <v>0</v>
      </c>
      <c r="I272" s="16">
        <f>(((D272*0.015)*12)/7)</f>
        <v>2.0159999999999996</v>
      </c>
      <c r="J272" s="16">
        <f>D272/($E$32-$E$34)*$J$31</f>
        <v>-0.3830693614699322</v>
      </c>
      <c r="K272" s="19">
        <f t="shared" si="35"/>
        <v>1.6329306385300675</v>
      </c>
      <c r="M272" s="13" t="s">
        <v>71</v>
      </c>
    </row>
    <row r="273" spans="1:13" x14ac:dyDescent="0.25">
      <c r="A273" s="1">
        <v>218</v>
      </c>
      <c r="B273" s="47">
        <v>45896</v>
      </c>
      <c r="C273" s="66">
        <v>43441396</v>
      </c>
      <c r="D273" s="156">
        <v>118.2</v>
      </c>
      <c r="E273" s="5">
        <v>22.805</v>
      </c>
      <c r="F273" s="5">
        <v>23.92</v>
      </c>
      <c r="G273" s="5">
        <f>F273-E273</f>
        <v>1.115000000000002</v>
      </c>
      <c r="H273" s="16">
        <f t="shared" si="36"/>
        <v>0.95867700000000167</v>
      </c>
      <c r="I273" s="16"/>
      <c r="J273" s="16"/>
      <c r="K273" s="19">
        <f t="shared" si="35"/>
        <v>0.95867700000000167</v>
      </c>
      <c r="M273" s="13" t="s">
        <v>69</v>
      </c>
    </row>
    <row r="274" spans="1:13" x14ac:dyDescent="0.25">
      <c r="A274" s="1">
        <v>219</v>
      </c>
      <c r="B274" s="33"/>
      <c r="C274" s="66">
        <v>43441399</v>
      </c>
      <c r="D274" s="156">
        <v>58.3</v>
      </c>
      <c r="E274" s="5">
        <v>39.103000000000002</v>
      </c>
      <c r="F274" s="5">
        <v>40.354999999999997</v>
      </c>
      <c r="G274" s="5"/>
      <c r="H274" s="16">
        <f t="shared" si="36"/>
        <v>0</v>
      </c>
      <c r="I274" s="16">
        <f>(((D274*0.015)*12)/7)</f>
        <v>1.4991428571428571</v>
      </c>
      <c r="J274" s="16">
        <f>D274/($E$32-$E$34)*$J$31</f>
        <v>-0.28485897670531951</v>
      </c>
      <c r="K274" s="19">
        <f t="shared" si="35"/>
        <v>1.2142838804375375</v>
      </c>
      <c r="M274" s="13" t="s">
        <v>71</v>
      </c>
    </row>
    <row r="275" spans="1:13" x14ac:dyDescent="0.25">
      <c r="A275" s="1">
        <v>220</v>
      </c>
      <c r="B275" s="47">
        <v>45566</v>
      </c>
      <c r="C275" s="10" t="s">
        <v>95</v>
      </c>
      <c r="D275" s="156">
        <v>59.4</v>
      </c>
      <c r="E275" s="39">
        <v>1.7279</v>
      </c>
      <c r="F275" s="39">
        <v>1.8340000000000001</v>
      </c>
      <c r="G275" s="5"/>
      <c r="H275" s="16">
        <f>F275-E275</f>
        <v>0.10610000000000008</v>
      </c>
      <c r="I275" s="16"/>
      <c r="J275" s="16"/>
      <c r="K275" s="19">
        <f t="shared" si="35"/>
        <v>0.10610000000000008</v>
      </c>
      <c r="M275" s="13" t="s">
        <v>69</v>
      </c>
    </row>
    <row r="276" spans="1:13" x14ac:dyDescent="0.25">
      <c r="A276" s="1">
        <v>221</v>
      </c>
      <c r="B276" s="47">
        <v>45727</v>
      </c>
      <c r="C276" s="71">
        <v>43441397</v>
      </c>
      <c r="D276" s="156">
        <v>46.9</v>
      </c>
      <c r="E276" s="5">
        <v>8.4689999999999994</v>
      </c>
      <c r="F276" s="5">
        <v>8.516</v>
      </c>
      <c r="G276" s="5">
        <f>F276-E276</f>
        <v>4.7000000000000597E-2</v>
      </c>
      <c r="H276" s="16">
        <f>G276*0.8598</f>
        <v>4.0410600000000511E-2</v>
      </c>
      <c r="I276" s="16"/>
      <c r="J276" s="16"/>
      <c r="K276" s="19">
        <f t="shared" si="35"/>
        <v>4.0410600000000511E-2</v>
      </c>
      <c r="M276" s="13" t="s">
        <v>69</v>
      </c>
    </row>
    <row r="277" spans="1:13" x14ac:dyDescent="0.25">
      <c r="A277" s="1">
        <v>222</v>
      </c>
      <c r="B277" s="47">
        <v>45570</v>
      </c>
      <c r="C277" s="71">
        <v>43441402</v>
      </c>
      <c r="D277" s="156">
        <v>77.7</v>
      </c>
      <c r="E277" s="5">
        <v>65.638999999999996</v>
      </c>
      <c r="F277" s="5">
        <v>66.305000000000007</v>
      </c>
      <c r="G277" s="5">
        <f>F277-E277</f>
        <v>0.66600000000001103</v>
      </c>
      <c r="H277" s="16">
        <f t="shared" ref="H277:H299" si="41">G277*0.8598</f>
        <v>0.57262680000000954</v>
      </c>
      <c r="I277" s="19"/>
      <c r="J277" s="16"/>
      <c r="K277" s="19">
        <f t="shared" si="35"/>
        <v>0.57262680000000954</v>
      </c>
      <c r="M277" s="13" t="s">
        <v>69</v>
      </c>
    </row>
    <row r="278" spans="1:13" x14ac:dyDescent="0.25">
      <c r="A278" s="1">
        <v>223</v>
      </c>
      <c r="B278" s="47">
        <v>45790</v>
      </c>
      <c r="C278" s="71">
        <v>43441209</v>
      </c>
      <c r="D278" s="156">
        <v>118.6</v>
      </c>
      <c r="E278" s="5">
        <v>86.23</v>
      </c>
      <c r="F278" s="5">
        <v>87.421999999999997</v>
      </c>
      <c r="G278" s="5">
        <f>F278-E278</f>
        <v>1.1919999999999931</v>
      </c>
      <c r="H278" s="16">
        <f t="shared" si="41"/>
        <v>1.0248815999999941</v>
      </c>
      <c r="I278" s="19"/>
      <c r="J278" s="16"/>
      <c r="K278" s="19">
        <f t="shared" si="35"/>
        <v>1.0248815999999941</v>
      </c>
      <c r="M278" s="13" t="s">
        <v>69</v>
      </c>
    </row>
    <row r="279" spans="1:13" x14ac:dyDescent="0.25">
      <c r="A279" s="1">
        <v>224</v>
      </c>
      <c r="B279" s="47">
        <v>45940</v>
      </c>
      <c r="C279" s="71">
        <v>43441210</v>
      </c>
      <c r="D279" s="156">
        <v>56.8</v>
      </c>
      <c r="E279" s="5">
        <v>13.916</v>
      </c>
      <c r="F279" s="5">
        <v>14.374000000000001</v>
      </c>
      <c r="G279" s="5">
        <f>F279-E279</f>
        <v>0.45800000000000018</v>
      </c>
      <c r="H279" s="16">
        <f t="shared" si="41"/>
        <v>0.39378840000000015</v>
      </c>
      <c r="I279" s="19"/>
      <c r="J279" s="16"/>
      <c r="K279" s="19">
        <f t="shared" si="35"/>
        <v>0.39378840000000015</v>
      </c>
      <c r="M279" s="13" t="s">
        <v>69</v>
      </c>
    </row>
    <row r="280" spans="1:13" x14ac:dyDescent="0.25">
      <c r="A280" s="1">
        <v>225</v>
      </c>
      <c r="B280" s="33"/>
      <c r="C280" s="71">
        <v>43441214</v>
      </c>
      <c r="D280" s="156">
        <v>58.9</v>
      </c>
      <c r="E280" s="5">
        <v>42.381999999999998</v>
      </c>
      <c r="F280" s="5">
        <v>43.328000000000003</v>
      </c>
      <c r="G280" s="5"/>
      <c r="H280" s="16">
        <f t="shared" si="41"/>
        <v>0</v>
      </c>
      <c r="I280" s="16">
        <f t="shared" ref="I280:I281" si="42">(((D280*0.015)*12)/7)</f>
        <v>1.5145714285714287</v>
      </c>
      <c r="J280" s="16">
        <f t="shared" ref="J280:J281" si="43">D280/($E$32-$E$34)*$J$31</f>
        <v>-0.2877906299818751</v>
      </c>
      <c r="K280" s="19">
        <f t="shared" si="35"/>
        <v>1.2267807985895536</v>
      </c>
      <c r="M280" s="13" t="s">
        <v>71</v>
      </c>
    </row>
    <row r="281" spans="1:13" x14ac:dyDescent="0.25">
      <c r="A281" s="1">
        <v>226</v>
      </c>
      <c r="B281" s="33"/>
      <c r="C281" s="71">
        <v>43441215</v>
      </c>
      <c r="D281" s="156">
        <v>46.8</v>
      </c>
      <c r="E281" s="5">
        <v>26.853999999999999</v>
      </c>
      <c r="F281" s="5">
        <v>27.681999999999999</v>
      </c>
      <c r="G281" s="5"/>
      <c r="H281" s="16">
        <f t="shared" si="41"/>
        <v>0</v>
      </c>
      <c r="I281" s="16">
        <f t="shared" si="42"/>
        <v>1.2034285714285713</v>
      </c>
      <c r="J281" s="16">
        <f t="shared" si="43"/>
        <v>-0.22866895557133707</v>
      </c>
      <c r="K281" s="19">
        <f t="shared" si="35"/>
        <v>0.97475961585723425</v>
      </c>
      <c r="M281" s="13" t="s">
        <v>71</v>
      </c>
    </row>
    <row r="282" spans="1:13" x14ac:dyDescent="0.25">
      <c r="A282" s="1">
        <v>227</v>
      </c>
      <c r="B282" s="47">
        <v>45927</v>
      </c>
      <c r="C282" s="71" t="s">
        <v>105</v>
      </c>
      <c r="D282" s="156">
        <v>78.2</v>
      </c>
      <c r="E282" s="5">
        <v>4.7069999999999999</v>
      </c>
      <c r="F282" s="5">
        <v>5.5839999999999996</v>
      </c>
      <c r="G282" s="5"/>
      <c r="H282" s="16">
        <f>F282-E282</f>
        <v>0.87699999999999978</v>
      </c>
      <c r="I282" s="16"/>
      <c r="J282" s="16"/>
      <c r="K282" s="19">
        <f t="shared" si="35"/>
        <v>0.87699999999999978</v>
      </c>
      <c r="M282" s="13" t="s">
        <v>69</v>
      </c>
    </row>
    <row r="283" spans="1:13" x14ac:dyDescent="0.25">
      <c r="A283" s="1">
        <v>228</v>
      </c>
      <c r="B283" s="33"/>
      <c r="C283" s="71">
        <v>43441212</v>
      </c>
      <c r="D283" s="156">
        <v>117.5</v>
      </c>
      <c r="E283" s="5">
        <v>40.628</v>
      </c>
      <c r="F283" s="5">
        <v>40.628</v>
      </c>
      <c r="G283" s="5"/>
      <c r="H283" s="16">
        <f t="shared" si="41"/>
        <v>0</v>
      </c>
      <c r="I283" s="16">
        <f>(((D283*0.015)*12)/7)</f>
        <v>3.0214285714285714</v>
      </c>
      <c r="J283" s="16">
        <f t="shared" ref="J283" si="44">D283/($E$32-$E$34)*$J$31</f>
        <v>-0.57411543332547232</v>
      </c>
      <c r="K283" s="19">
        <f>H283+I283+J283</f>
        <v>2.447313138103099</v>
      </c>
      <c r="M283" s="13" t="s">
        <v>71</v>
      </c>
    </row>
    <row r="284" spans="1:13" x14ac:dyDescent="0.25">
      <c r="A284" s="1">
        <v>229</v>
      </c>
      <c r="B284" s="47">
        <v>46279</v>
      </c>
      <c r="C284" s="71">
        <v>43441218</v>
      </c>
      <c r="D284" s="156">
        <v>57.8</v>
      </c>
      <c r="E284" s="5">
        <v>26.048999999999999</v>
      </c>
      <c r="F284" s="5">
        <v>26.048999999999999</v>
      </c>
      <c r="G284" s="5">
        <f>F284-E284</f>
        <v>0</v>
      </c>
      <c r="H284" s="16">
        <f t="shared" si="41"/>
        <v>0</v>
      </c>
      <c r="I284" s="16"/>
      <c r="J284" s="16"/>
      <c r="K284" s="19">
        <f>H284+I284+J284</f>
        <v>0</v>
      </c>
      <c r="M284" s="13" t="s">
        <v>69</v>
      </c>
    </row>
    <row r="285" spans="1:13" x14ac:dyDescent="0.25">
      <c r="A285" s="1">
        <v>230</v>
      </c>
      <c r="B285" s="47">
        <v>45914</v>
      </c>
      <c r="C285" s="71">
        <v>43441227</v>
      </c>
      <c r="D285" s="156">
        <v>58.4</v>
      </c>
      <c r="E285" s="5">
        <v>26.338000000000001</v>
      </c>
      <c r="F285" s="5">
        <v>27.353000000000002</v>
      </c>
      <c r="G285" s="5">
        <f>F285-E285</f>
        <v>1.0150000000000006</v>
      </c>
      <c r="H285" s="16">
        <f t="shared" si="41"/>
        <v>0.8726970000000005</v>
      </c>
      <c r="I285" s="19"/>
      <c r="J285" s="16"/>
      <c r="K285" s="19">
        <f t="shared" si="35"/>
        <v>0.8726970000000005</v>
      </c>
      <c r="M285" s="13" t="s">
        <v>69</v>
      </c>
    </row>
    <row r="286" spans="1:13" x14ac:dyDescent="0.25">
      <c r="A286" s="1">
        <v>231</v>
      </c>
      <c r="B286" s="33"/>
      <c r="C286" s="71">
        <v>43441216</v>
      </c>
      <c r="D286" s="156">
        <v>47</v>
      </c>
      <c r="E286" s="5">
        <v>14.618</v>
      </c>
      <c r="F286" s="5">
        <v>14.846</v>
      </c>
      <c r="G286" s="5"/>
      <c r="H286" s="16">
        <f t="shared" si="41"/>
        <v>0</v>
      </c>
      <c r="I286" s="16">
        <f>(((D286*0.015)*12)/7)</f>
        <v>1.2085714285714284</v>
      </c>
      <c r="J286" s="16">
        <f>D286/($E$32-$E$34)*$J$31</f>
        <v>-0.22964617333018894</v>
      </c>
      <c r="K286" s="19">
        <f t="shared" si="35"/>
        <v>0.97892525524123952</v>
      </c>
      <c r="M286" s="13" t="s">
        <v>71</v>
      </c>
    </row>
    <row r="287" spans="1:13" x14ac:dyDescent="0.25">
      <c r="A287" s="1">
        <v>232</v>
      </c>
      <c r="B287" s="47">
        <v>45738</v>
      </c>
      <c r="C287" s="10" t="s">
        <v>104</v>
      </c>
      <c r="D287" s="156">
        <v>78</v>
      </c>
      <c r="E287" s="39">
        <v>3.169</v>
      </c>
      <c r="F287" s="39">
        <v>3.53</v>
      </c>
      <c r="G287" s="5"/>
      <c r="H287" s="16">
        <f>F287-E287</f>
        <v>0.36099999999999977</v>
      </c>
      <c r="I287" s="19"/>
      <c r="J287" s="16"/>
      <c r="K287" s="19">
        <f t="shared" si="35"/>
        <v>0.36099999999999977</v>
      </c>
      <c r="M287" s="13" t="s">
        <v>69</v>
      </c>
    </row>
    <row r="288" spans="1:13" x14ac:dyDescent="0.25">
      <c r="A288" s="1">
        <v>233</v>
      </c>
      <c r="B288" s="47">
        <v>45790</v>
      </c>
      <c r="C288" s="71">
        <v>43441226</v>
      </c>
      <c r="D288" s="156">
        <v>117.7</v>
      </c>
      <c r="E288" s="5">
        <v>17.556999999999999</v>
      </c>
      <c r="F288" s="5">
        <v>18.527999999999999</v>
      </c>
      <c r="G288" s="5">
        <f>F288-E288</f>
        <v>0.97100000000000009</v>
      </c>
      <c r="H288" s="16">
        <f>G288*0.8598</f>
        <v>0.8348658000000001</v>
      </c>
      <c r="I288" s="16"/>
      <c r="J288" s="16"/>
      <c r="K288" s="19">
        <f t="shared" si="35"/>
        <v>0.8348658000000001</v>
      </c>
      <c r="M288" s="13" t="s">
        <v>69</v>
      </c>
    </row>
    <row r="289" spans="1:13" x14ac:dyDescent="0.25">
      <c r="A289" s="1">
        <v>234</v>
      </c>
      <c r="B289" s="33"/>
      <c r="C289" s="71">
        <v>43441225</v>
      </c>
      <c r="D289" s="156">
        <v>57.8</v>
      </c>
      <c r="E289" s="5">
        <v>24.885999999999999</v>
      </c>
      <c r="F289" s="5">
        <v>24.885999999999999</v>
      </c>
      <c r="G289" s="5"/>
      <c r="H289" s="16">
        <f t="shared" si="41"/>
        <v>0</v>
      </c>
      <c r="I289" s="16">
        <f>(((D289*0.015)*12)/7)</f>
        <v>1.486285714285714</v>
      </c>
      <c r="J289" s="16">
        <f>D289/($E$32-$E$34)*$J$31</f>
        <v>-0.28241593230818979</v>
      </c>
      <c r="K289" s="19">
        <f t="shared" si="35"/>
        <v>1.2038697819775241</v>
      </c>
      <c r="M289" s="13" t="s">
        <v>71</v>
      </c>
    </row>
    <row r="290" spans="1:13" x14ac:dyDescent="0.25">
      <c r="A290" s="1">
        <v>235</v>
      </c>
      <c r="B290" s="47">
        <v>45748</v>
      </c>
      <c r="C290" s="71">
        <v>43441222</v>
      </c>
      <c r="D290" s="156">
        <v>58.3</v>
      </c>
      <c r="E290" s="5">
        <v>5.23</v>
      </c>
      <c r="F290" s="5">
        <v>5.23</v>
      </c>
      <c r="G290" s="5">
        <f>F290-E290</f>
        <v>0</v>
      </c>
      <c r="H290" s="16">
        <f t="shared" si="41"/>
        <v>0</v>
      </c>
      <c r="I290" s="16"/>
      <c r="J290" s="16"/>
      <c r="K290" s="19">
        <f t="shared" si="35"/>
        <v>0</v>
      </c>
      <c r="M290" s="13" t="s">
        <v>69</v>
      </c>
    </row>
    <row r="291" spans="1:13" x14ac:dyDescent="0.25">
      <c r="A291" s="1">
        <v>236</v>
      </c>
      <c r="B291" s="33"/>
      <c r="C291" s="71">
        <v>43441223</v>
      </c>
      <c r="D291" s="156">
        <v>47</v>
      </c>
      <c r="E291" s="5">
        <v>28.978999999999999</v>
      </c>
      <c r="F291" s="5">
        <v>28.978999999999999</v>
      </c>
      <c r="G291" s="5"/>
      <c r="H291" s="16">
        <f t="shared" si="41"/>
        <v>0</v>
      </c>
      <c r="I291" s="16">
        <f>(((D291*0.015)*12)/7)</f>
        <v>1.2085714285714284</v>
      </c>
      <c r="J291" s="16">
        <f>D291/($E$32-$E$34)*$J$31</f>
        <v>-0.22964617333018894</v>
      </c>
      <c r="K291" s="19">
        <f t="shared" si="35"/>
        <v>0.97892525524123952</v>
      </c>
      <c r="M291" s="13" t="s">
        <v>71</v>
      </c>
    </row>
    <row r="292" spans="1:13" x14ac:dyDescent="0.25">
      <c r="A292" s="1">
        <v>237</v>
      </c>
      <c r="B292" s="47">
        <v>45703</v>
      </c>
      <c r="C292" s="71">
        <v>43441224</v>
      </c>
      <c r="D292" s="156">
        <v>77</v>
      </c>
      <c r="E292" s="5">
        <v>55.338999999999999</v>
      </c>
      <c r="F292" s="5">
        <v>56.962000000000003</v>
      </c>
      <c r="G292" s="5">
        <f>F292-E292</f>
        <v>1.6230000000000047</v>
      </c>
      <c r="H292" s="16">
        <f t="shared" si="41"/>
        <v>1.3954554000000041</v>
      </c>
      <c r="I292" s="19"/>
      <c r="J292" s="16"/>
      <c r="K292" s="19">
        <f t="shared" si="35"/>
        <v>1.3954554000000041</v>
      </c>
      <c r="M292" s="13" t="s">
        <v>69</v>
      </c>
    </row>
    <row r="293" spans="1:13" x14ac:dyDescent="0.25">
      <c r="A293" s="1">
        <v>238</v>
      </c>
      <c r="B293" s="47">
        <v>45957</v>
      </c>
      <c r="C293" s="71" t="s">
        <v>115</v>
      </c>
      <c r="D293" s="156">
        <v>117.8</v>
      </c>
      <c r="E293" s="39">
        <v>0</v>
      </c>
      <c r="F293" s="39">
        <v>3.8610000000000002</v>
      </c>
      <c r="G293" s="5"/>
      <c r="H293" s="16">
        <f>F293-E293</f>
        <v>3.8610000000000002</v>
      </c>
      <c r="I293" s="16"/>
      <c r="J293" s="16"/>
      <c r="K293" s="19">
        <f t="shared" si="35"/>
        <v>3.8610000000000002</v>
      </c>
      <c r="M293" s="13" t="s">
        <v>69</v>
      </c>
    </row>
    <row r="294" spans="1:13" x14ac:dyDescent="0.25">
      <c r="A294" s="1">
        <v>239</v>
      </c>
      <c r="B294" s="48">
        <v>45871</v>
      </c>
      <c r="C294" s="71">
        <v>43441220</v>
      </c>
      <c r="D294" s="156">
        <v>58.1</v>
      </c>
      <c r="E294" s="5">
        <v>36.677999999999997</v>
      </c>
      <c r="F294" s="5">
        <v>37.448</v>
      </c>
      <c r="G294" s="5">
        <f>F294-E294</f>
        <v>0.77000000000000313</v>
      </c>
      <c r="H294" s="16">
        <f>G294*0.8598</f>
        <v>0.66204600000000269</v>
      </c>
      <c r="I294" s="19"/>
      <c r="J294" s="16"/>
      <c r="K294" s="19">
        <f t="shared" si="35"/>
        <v>0.66204600000000269</v>
      </c>
      <c r="M294" s="13" t="s">
        <v>69</v>
      </c>
    </row>
    <row r="295" spans="1:13" x14ac:dyDescent="0.25">
      <c r="A295" s="1">
        <v>240</v>
      </c>
      <c r="B295" s="33"/>
      <c r="C295" s="71">
        <v>20242417</v>
      </c>
      <c r="D295" s="156">
        <v>58.7</v>
      </c>
      <c r="E295" s="5">
        <v>33.476999999999997</v>
      </c>
      <c r="F295" s="5">
        <v>34.468000000000004</v>
      </c>
      <c r="G295" s="5"/>
      <c r="H295" s="16">
        <f t="shared" si="41"/>
        <v>0</v>
      </c>
      <c r="I295" s="16">
        <f t="shared" ref="I295:I297" si="45">(((D295*0.015)*12)/7)</f>
        <v>1.5094285714285716</v>
      </c>
      <c r="J295" s="16">
        <f t="shared" ref="J295:J297" si="46">D295/($E$32-$E$34)*$J$31</f>
        <v>-0.2868134122230232</v>
      </c>
      <c r="K295" s="19">
        <f t="shared" si="35"/>
        <v>1.2226151592055483</v>
      </c>
      <c r="M295" s="13" t="s">
        <v>71</v>
      </c>
    </row>
    <row r="296" spans="1:13" x14ac:dyDescent="0.25">
      <c r="A296" s="1">
        <v>241</v>
      </c>
      <c r="B296" s="33"/>
      <c r="C296" s="71">
        <v>20242445</v>
      </c>
      <c r="D296" s="156">
        <v>46.5</v>
      </c>
      <c r="E296" s="5">
        <v>24.847000000000001</v>
      </c>
      <c r="F296" s="5">
        <v>25.343</v>
      </c>
      <c r="G296" s="5"/>
      <c r="H296" s="16">
        <f t="shared" si="41"/>
        <v>0</v>
      </c>
      <c r="I296" s="16">
        <f t="shared" si="45"/>
        <v>1.195714285714286</v>
      </c>
      <c r="J296" s="16">
        <f t="shared" si="46"/>
        <v>-0.22720312893305927</v>
      </c>
      <c r="K296" s="19">
        <f t="shared" si="35"/>
        <v>0.96851115678122668</v>
      </c>
      <c r="M296" s="13" t="s">
        <v>71</v>
      </c>
    </row>
    <row r="297" spans="1:13" x14ac:dyDescent="0.25">
      <c r="A297" s="1">
        <v>242</v>
      </c>
      <c r="B297" s="33"/>
      <c r="C297" s="71">
        <v>43441219</v>
      </c>
      <c r="D297" s="156">
        <v>78.3</v>
      </c>
      <c r="E297" s="5">
        <v>68.87</v>
      </c>
      <c r="F297" s="5">
        <v>70.807000000000002</v>
      </c>
      <c r="G297" s="5"/>
      <c r="H297" s="16">
        <f t="shared" si="41"/>
        <v>0</v>
      </c>
      <c r="I297" s="16">
        <f t="shared" si="45"/>
        <v>2.0134285714285709</v>
      </c>
      <c r="J297" s="16">
        <f t="shared" si="46"/>
        <v>-0.38258075259050622</v>
      </c>
      <c r="K297" s="19">
        <f t="shared" si="35"/>
        <v>1.6308478188380646</v>
      </c>
      <c r="M297" s="13" t="s">
        <v>71</v>
      </c>
    </row>
    <row r="298" spans="1:13" x14ac:dyDescent="0.25">
      <c r="A298" s="1">
        <v>243</v>
      </c>
      <c r="B298" s="47">
        <v>46248</v>
      </c>
      <c r="C298" s="71">
        <v>20242421</v>
      </c>
      <c r="D298" s="156">
        <v>117.2</v>
      </c>
      <c r="E298" s="5">
        <v>59.664999999999999</v>
      </c>
      <c r="F298" s="5">
        <v>61.823999999999998</v>
      </c>
      <c r="G298" s="5">
        <f>F298-E298</f>
        <v>2.1589999999999989</v>
      </c>
      <c r="H298" s="16">
        <f>G298*0.8598</f>
        <v>1.8563081999999991</v>
      </c>
      <c r="I298" s="16"/>
      <c r="J298" s="16"/>
      <c r="K298" s="19">
        <f t="shared" si="35"/>
        <v>1.8563081999999991</v>
      </c>
      <c r="M298" s="13" t="s">
        <v>69</v>
      </c>
    </row>
    <row r="299" spans="1:13" x14ac:dyDescent="0.25">
      <c r="A299" s="1">
        <v>244</v>
      </c>
      <c r="B299" s="47">
        <v>45803</v>
      </c>
      <c r="C299" s="71">
        <v>20242431</v>
      </c>
      <c r="D299" s="156">
        <v>57.8</v>
      </c>
      <c r="E299" s="5">
        <v>13.664</v>
      </c>
      <c r="F299" s="5">
        <v>14.475</v>
      </c>
      <c r="G299" s="5">
        <f>F299-E299</f>
        <v>0.81099999999999994</v>
      </c>
      <c r="H299" s="16">
        <f t="shared" si="41"/>
        <v>0.69729779999999997</v>
      </c>
      <c r="I299" s="19"/>
      <c r="J299" s="16"/>
      <c r="K299" s="19">
        <f t="shared" si="35"/>
        <v>0.69729779999999997</v>
      </c>
      <c r="M299" s="13" t="s">
        <v>69</v>
      </c>
    </row>
    <row r="300" spans="1:13" x14ac:dyDescent="0.25">
      <c r="A300" s="1">
        <v>245</v>
      </c>
      <c r="B300" s="47">
        <v>45887</v>
      </c>
      <c r="C300" s="71">
        <v>20242432</v>
      </c>
      <c r="D300" s="156">
        <v>58.2</v>
      </c>
      <c r="E300" s="5">
        <v>12.154</v>
      </c>
      <c r="F300" s="5">
        <v>12.154</v>
      </c>
      <c r="G300" s="5">
        <f>F300-E300</f>
        <v>0</v>
      </c>
      <c r="H300" s="16">
        <f>G300*0.8598</f>
        <v>0</v>
      </c>
      <c r="I300" s="19"/>
      <c r="J300" s="16"/>
      <c r="K300" s="19">
        <f t="shared" si="35"/>
        <v>0</v>
      </c>
      <c r="M300" s="13" t="s">
        <v>69</v>
      </c>
    </row>
    <row r="301" spans="1:13" x14ac:dyDescent="0.25">
      <c r="A301" s="1">
        <v>246</v>
      </c>
      <c r="B301" s="33"/>
      <c r="C301" s="71">
        <v>20242451</v>
      </c>
      <c r="D301" s="156">
        <v>45.8</v>
      </c>
      <c r="E301" s="5">
        <v>25.911000000000001</v>
      </c>
      <c r="F301" s="5">
        <v>26.943999999999999</v>
      </c>
      <c r="G301" s="5"/>
      <c r="H301" s="16">
        <f>G301*0.8598</f>
        <v>0</v>
      </c>
      <c r="I301" s="16">
        <f>(((D301*0.015)*12)/7)</f>
        <v>1.1777142857142857</v>
      </c>
      <c r="J301" s="16">
        <f>D301/($E$32-$E$34)*$J$31</f>
        <v>-0.22378286677707773</v>
      </c>
      <c r="K301" s="19">
        <f t="shared" si="35"/>
        <v>0.95393141893720801</v>
      </c>
      <c r="M301" s="13" t="s">
        <v>71</v>
      </c>
    </row>
    <row r="302" spans="1:13" x14ac:dyDescent="0.25">
      <c r="A302" s="42">
        <v>247</v>
      </c>
      <c r="B302" s="73">
        <v>45887</v>
      </c>
      <c r="C302" s="72">
        <v>20242442</v>
      </c>
      <c r="D302" s="163">
        <v>77.599999999999994</v>
      </c>
      <c r="E302" s="27">
        <v>34.548999999999999</v>
      </c>
      <c r="F302" s="27">
        <v>34.654000000000003</v>
      </c>
      <c r="G302" s="27">
        <f>F302-E302</f>
        <v>0.10500000000000398</v>
      </c>
      <c r="H302" s="95">
        <f>G302*0.8598</f>
        <v>9.0279000000003426E-2</v>
      </c>
      <c r="I302" s="96"/>
      <c r="J302" s="16"/>
      <c r="K302" s="16">
        <f t="shared" si="35"/>
        <v>9.0279000000003426E-2</v>
      </c>
      <c r="M302" s="13" t="s">
        <v>69</v>
      </c>
    </row>
    <row r="303" spans="1:13" x14ac:dyDescent="0.25">
      <c r="A303" s="1" t="s">
        <v>48</v>
      </c>
      <c r="B303" s="47"/>
      <c r="C303" s="71"/>
      <c r="D303" s="156">
        <v>79.900000000000006</v>
      </c>
      <c r="E303" s="5"/>
      <c r="F303" s="5"/>
      <c r="G303" s="5"/>
      <c r="H303" s="16"/>
      <c r="I303" s="16"/>
      <c r="J303" s="16"/>
      <c r="K303" s="16">
        <f t="shared" si="35"/>
        <v>0</v>
      </c>
      <c r="M303" s="13"/>
    </row>
    <row r="304" spans="1:13" x14ac:dyDescent="0.25">
      <c r="A304" s="1" t="s">
        <v>49</v>
      </c>
      <c r="B304" s="47"/>
      <c r="C304" s="71"/>
      <c r="D304" s="156">
        <v>106.1</v>
      </c>
      <c r="E304" s="5"/>
      <c r="F304" s="5"/>
      <c r="G304" s="5"/>
      <c r="H304" s="16"/>
      <c r="I304" s="16"/>
      <c r="J304" s="16"/>
      <c r="K304" s="16">
        <f t="shared" ref="K304:K306" si="47">H304+I304+J304</f>
        <v>0</v>
      </c>
      <c r="M304" s="13"/>
    </row>
    <row r="305" spans="1:13" x14ac:dyDescent="0.25">
      <c r="A305" s="1" t="s">
        <v>50</v>
      </c>
      <c r="B305" s="47"/>
      <c r="C305" s="71"/>
      <c r="D305" s="156">
        <v>137.9</v>
      </c>
      <c r="E305" s="5"/>
      <c r="F305" s="5"/>
      <c r="G305" s="5"/>
      <c r="H305" s="16"/>
      <c r="I305" s="16"/>
      <c r="J305" s="16"/>
      <c r="K305" s="16">
        <f t="shared" si="47"/>
        <v>0</v>
      </c>
      <c r="M305" s="13"/>
    </row>
    <row r="306" spans="1:13" ht="15.75" thickBot="1" x14ac:dyDescent="0.3">
      <c r="A306" s="15" t="s">
        <v>51</v>
      </c>
      <c r="B306" s="188"/>
      <c r="C306" s="203"/>
      <c r="D306" s="90">
        <v>56.4</v>
      </c>
      <c r="E306" s="8"/>
      <c r="F306" s="8"/>
      <c r="G306" s="8"/>
      <c r="H306" s="91"/>
      <c r="I306" s="91"/>
      <c r="J306" s="91"/>
      <c r="K306" s="91">
        <f t="shared" si="47"/>
        <v>0</v>
      </c>
      <c r="M306" s="13"/>
    </row>
    <row r="307" spans="1:13" ht="15.75" thickBot="1" x14ac:dyDescent="0.3">
      <c r="A307" s="272" t="s">
        <v>81</v>
      </c>
      <c r="B307" s="273"/>
      <c r="C307" s="273"/>
      <c r="D307" s="200">
        <f>SUM(D238:D306)</f>
        <v>5040.4000000000015</v>
      </c>
      <c r="E307" s="274" t="s">
        <v>82</v>
      </c>
      <c r="F307" s="274"/>
      <c r="G307" s="274"/>
      <c r="H307" s="201">
        <f>SUM(H238:H302)</f>
        <v>26.96082700000003</v>
      </c>
      <c r="I307" s="201">
        <f>SUM(I238:I302)</f>
        <v>36.37232503289988</v>
      </c>
      <c r="J307" s="201">
        <f>SUM(J238:J306)</f>
        <v>-6.7921520328999083</v>
      </c>
      <c r="K307" s="202">
        <f>SUM(K238:K306)</f>
        <v>56.541000000000004</v>
      </c>
      <c r="M307" s="13"/>
    </row>
    <row r="308" spans="1:13" x14ac:dyDescent="0.25">
      <c r="A308" s="222" t="s">
        <v>3</v>
      </c>
      <c r="B308" s="222"/>
      <c r="C308" s="222"/>
      <c r="D308" s="97">
        <f>SUM(D120,D180,D237,D307)</f>
        <v>18987.600000000006</v>
      </c>
      <c r="E308" s="65">
        <f>SUM(E42:E302)</f>
        <v>6944.3061999999982</v>
      </c>
      <c r="F308" s="65">
        <f>SUM(F42:F302)</f>
        <v>7089.9766999999993</v>
      </c>
      <c r="G308" s="6">
        <f>F308-E308</f>
        <v>145.67050000000108</v>
      </c>
      <c r="H308" s="65">
        <f>SUM(H120,H180,H237,H307)</f>
        <v>85.911159600000047</v>
      </c>
      <c r="I308" s="65">
        <f>SUM(I120,I180,I237,I307)</f>
        <v>99.21749744101848</v>
      </c>
      <c r="J308" s="65">
        <f>SUM(J120,J180,J237,J307)</f>
        <v>8.0943429589814624</v>
      </c>
      <c r="K308" s="65">
        <f>SUM(K120,K180,K237,K307)</f>
        <v>193.22299999999996</v>
      </c>
      <c r="L308" s="20"/>
      <c r="M308" s="21"/>
    </row>
    <row r="309" spans="1:13" x14ac:dyDescent="0.25">
      <c r="H309" s="98"/>
      <c r="I309" s="98"/>
      <c r="L309" s="62"/>
      <c r="M309" s="12"/>
    </row>
    <row r="310" spans="1:13" x14ac:dyDescent="0.25">
      <c r="J310" s="2"/>
      <c r="K310" s="2"/>
      <c r="M310" s="62"/>
    </row>
    <row r="311" spans="1:13" ht="18.75" customHeight="1" x14ac:dyDescent="0.25">
      <c r="A311" s="207" t="s">
        <v>34</v>
      </c>
      <c r="B311" s="40" t="s">
        <v>61</v>
      </c>
      <c r="C311" s="209" t="s">
        <v>35</v>
      </c>
      <c r="D311" s="211" t="s">
        <v>2</v>
      </c>
      <c r="E311" s="17" t="s">
        <v>158</v>
      </c>
      <c r="F311" s="17" t="s">
        <v>164</v>
      </c>
      <c r="G311" s="99" t="s">
        <v>53</v>
      </c>
      <c r="H311" s="4"/>
      <c r="I311" s="4"/>
      <c r="J311" s="2"/>
      <c r="K311" s="2"/>
    </row>
    <row r="312" spans="1:13" ht="18.75" customHeight="1" x14ac:dyDescent="0.25">
      <c r="A312" s="208"/>
      <c r="B312" s="100" t="s">
        <v>62</v>
      </c>
      <c r="C312" s="210"/>
      <c r="D312" s="212"/>
      <c r="E312" s="25" t="s">
        <v>36</v>
      </c>
      <c r="F312" s="25" t="s">
        <v>36</v>
      </c>
      <c r="G312" s="32" t="s">
        <v>54</v>
      </c>
      <c r="J312" s="2"/>
      <c r="K312" s="2"/>
    </row>
    <row r="313" spans="1:13" x14ac:dyDescent="0.25">
      <c r="A313" s="101" t="s">
        <v>37</v>
      </c>
      <c r="B313" s="102"/>
      <c r="C313" s="26">
        <v>43441481</v>
      </c>
      <c r="D313" s="26">
        <v>120.9</v>
      </c>
      <c r="E313" s="22">
        <v>62.761000000000003</v>
      </c>
      <c r="F313" s="22">
        <v>65.213999999999999</v>
      </c>
      <c r="G313" s="22">
        <f>(F313-E313)*0.8598</f>
        <v>2.1090893999999967</v>
      </c>
      <c r="J313" s="2"/>
      <c r="K313" s="2"/>
    </row>
    <row r="314" spans="1:13" x14ac:dyDescent="0.25">
      <c r="A314" s="101" t="s">
        <v>38</v>
      </c>
      <c r="B314" s="102"/>
      <c r="C314" s="26">
        <v>2115009837</v>
      </c>
      <c r="D314" s="26">
        <v>68.5</v>
      </c>
      <c r="E314" s="22">
        <v>0</v>
      </c>
      <c r="F314" s="22">
        <v>0</v>
      </c>
      <c r="G314" s="22">
        <f t="shared" ref="G314:G327" si="48">(F314-E314)*0.8598</f>
        <v>0</v>
      </c>
      <c r="J314" s="2"/>
      <c r="K314" s="2"/>
    </row>
    <row r="315" spans="1:13" x14ac:dyDescent="0.25">
      <c r="A315" s="101" t="s">
        <v>39</v>
      </c>
      <c r="B315" s="102"/>
      <c r="C315" s="26">
        <v>43441179</v>
      </c>
      <c r="D315" s="26">
        <v>106.9</v>
      </c>
      <c r="E315" s="22">
        <v>0</v>
      </c>
      <c r="F315" s="22">
        <v>3.0000000000000001E-3</v>
      </c>
      <c r="G315" s="22">
        <f t="shared" si="48"/>
        <v>2.5793999999999999E-3</v>
      </c>
      <c r="J315" s="2"/>
      <c r="K315" s="2"/>
    </row>
    <row r="316" spans="1:13" x14ac:dyDescent="0.25">
      <c r="A316" s="101" t="s">
        <v>40</v>
      </c>
      <c r="B316" s="102"/>
      <c r="C316" s="26">
        <v>43441177</v>
      </c>
      <c r="D316" s="26">
        <v>163.80000000000001</v>
      </c>
      <c r="E316" s="22">
        <v>0</v>
      </c>
      <c r="F316" s="22">
        <v>6.0000000000000001E-3</v>
      </c>
      <c r="G316" s="22">
        <f t="shared" si="48"/>
        <v>5.1587999999999998E-3</v>
      </c>
      <c r="J316" s="2"/>
      <c r="K316" s="2"/>
    </row>
    <row r="317" spans="1:13" x14ac:dyDescent="0.25">
      <c r="A317" s="101" t="s">
        <v>41</v>
      </c>
      <c r="B317" s="102"/>
      <c r="C317" s="26">
        <v>43441482</v>
      </c>
      <c r="D317" s="26">
        <v>109.8</v>
      </c>
      <c r="E317" s="22">
        <v>151.08500000000001</v>
      </c>
      <c r="F317" s="22">
        <v>153.90100000000001</v>
      </c>
      <c r="G317" s="22">
        <f t="shared" si="48"/>
        <v>2.4211968000000024</v>
      </c>
      <c r="I317" s="186"/>
      <c r="J317" s="186"/>
      <c r="K317" s="2"/>
    </row>
    <row r="318" spans="1:13" x14ac:dyDescent="0.25">
      <c r="A318" s="101" t="s">
        <v>42</v>
      </c>
      <c r="B318" s="102"/>
      <c r="C318" s="26">
        <v>43441483</v>
      </c>
      <c r="D318" s="26">
        <v>58.7</v>
      </c>
      <c r="E318" s="22">
        <v>193.44200000000001</v>
      </c>
      <c r="F318" s="22">
        <v>196.2</v>
      </c>
      <c r="G318" s="22">
        <f t="shared" si="48"/>
        <v>2.3713283999999839</v>
      </c>
      <c r="J318" s="2"/>
      <c r="K318" s="2"/>
    </row>
    <row r="319" spans="1:13" x14ac:dyDescent="0.25">
      <c r="A319" s="101" t="s">
        <v>43</v>
      </c>
      <c r="B319" s="102"/>
      <c r="C319" s="26">
        <v>41444210</v>
      </c>
      <c r="D319" s="26">
        <v>89.1</v>
      </c>
      <c r="E319" s="22">
        <v>169.55</v>
      </c>
      <c r="F319" s="22">
        <v>172.696</v>
      </c>
      <c r="G319" s="22">
        <f t="shared" si="48"/>
        <v>2.7049307999999885</v>
      </c>
      <c r="J319" s="2"/>
      <c r="K319" s="2"/>
    </row>
    <row r="320" spans="1:13" x14ac:dyDescent="0.25">
      <c r="A320" s="101" t="s">
        <v>44</v>
      </c>
      <c r="B320" s="102"/>
      <c r="C320" s="25" t="s">
        <v>159</v>
      </c>
      <c r="D320" s="26">
        <v>56.5</v>
      </c>
      <c r="E320" s="22">
        <v>0.56799999999999995</v>
      </c>
      <c r="F320" s="22">
        <v>1.0469999999999999</v>
      </c>
      <c r="G320" s="22">
        <f t="shared" si="48"/>
        <v>0.41184419999999999</v>
      </c>
      <c r="J320" s="2"/>
      <c r="K320" s="2"/>
    </row>
    <row r="321" spans="1:13" x14ac:dyDescent="0.25">
      <c r="A321" s="101" t="s">
        <v>45</v>
      </c>
      <c r="B321" s="102"/>
      <c r="C321" s="26">
        <v>20242426</v>
      </c>
      <c r="D321" s="26">
        <v>96</v>
      </c>
      <c r="E321" s="22">
        <v>137.114</v>
      </c>
      <c r="F321" s="22">
        <v>140.32900000000001</v>
      </c>
      <c r="G321" s="22">
        <f t="shared" si="48"/>
        <v>2.7642570000000029</v>
      </c>
      <c r="J321" s="2"/>
      <c r="K321" s="2"/>
    </row>
    <row r="322" spans="1:13" x14ac:dyDescent="0.25">
      <c r="A322" s="101" t="s">
        <v>46</v>
      </c>
      <c r="B322" s="102"/>
      <c r="C322" s="26">
        <v>20242457</v>
      </c>
      <c r="D322" s="26">
        <v>103.3</v>
      </c>
      <c r="E322" s="22">
        <v>134.322</v>
      </c>
      <c r="F322" s="22">
        <v>136.96100000000001</v>
      </c>
      <c r="G322" s="22">
        <f t="shared" si="48"/>
        <v>2.2690122000000086</v>
      </c>
      <c r="J322" s="2"/>
      <c r="K322" s="2"/>
    </row>
    <row r="323" spans="1:13" x14ac:dyDescent="0.25">
      <c r="A323" s="101" t="s">
        <v>47</v>
      </c>
      <c r="B323" s="102"/>
      <c r="C323" s="26">
        <v>1900446</v>
      </c>
      <c r="D323" s="26">
        <v>43.4</v>
      </c>
      <c r="E323" s="22">
        <v>0.65300000000000002</v>
      </c>
      <c r="F323" s="22">
        <v>1.089</v>
      </c>
      <c r="G323" s="22">
        <f t="shared" si="48"/>
        <v>0.37487279999999995</v>
      </c>
      <c r="J323" s="2"/>
      <c r="K323" s="2"/>
    </row>
    <row r="324" spans="1:13" x14ac:dyDescent="0.25">
      <c r="A324" s="101" t="s">
        <v>48</v>
      </c>
      <c r="B324" s="102"/>
      <c r="C324" s="26">
        <v>20442453</v>
      </c>
      <c r="D324" s="26">
        <v>79.900000000000006</v>
      </c>
      <c r="E324" s="22">
        <v>117.062</v>
      </c>
      <c r="F324" s="22">
        <v>118.86499999999999</v>
      </c>
      <c r="G324" s="22">
        <f t="shared" si="48"/>
        <v>1.5502193999999976</v>
      </c>
      <c r="J324" s="2"/>
      <c r="K324" s="2"/>
    </row>
    <row r="325" spans="1:13" x14ac:dyDescent="0.25">
      <c r="A325" s="101" t="s">
        <v>49</v>
      </c>
      <c r="B325" s="102"/>
      <c r="C325" s="26">
        <v>20242456</v>
      </c>
      <c r="D325" s="26">
        <v>106.1</v>
      </c>
      <c r="E325" s="22">
        <v>49.536000000000001</v>
      </c>
      <c r="F325" s="22">
        <v>49.536000000000001</v>
      </c>
      <c r="G325" s="22">
        <f t="shared" si="48"/>
        <v>0</v>
      </c>
      <c r="J325" s="2"/>
      <c r="K325" s="2"/>
    </row>
    <row r="326" spans="1:13" x14ac:dyDescent="0.25">
      <c r="A326" s="101" t="s">
        <v>50</v>
      </c>
      <c r="B326" s="102"/>
      <c r="C326" s="26">
        <v>20242415</v>
      </c>
      <c r="D326" s="26">
        <v>137.9</v>
      </c>
      <c r="E326" s="22">
        <v>201.50899999999999</v>
      </c>
      <c r="F326" s="22">
        <v>201.50899999999999</v>
      </c>
      <c r="G326" s="22">
        <f t="shared" si="48"/>
        <v>0</v>
      </c>
      <c r="J326" s="2"/>
      <c r="K326" s="2"/>
    </row>
    <row r="327" spans="1:13" x14ac:dyDescent="0.25">
      <c r="A327" s="101" t="s">
        <v>51</v>
      </c>
      <c r="B327" s="102"/>
      <c r="C327" s="26">
        <v>20242418</v>
      </c>
      <c r="D327" s="26">
        <v>56.4</v>
      </c>
      <c r="E327" s="22">
        <v>218.25</v>
      </c>
      <c r="F327" s="22">
        <v>222.73</v>
      </c>
      <c r="G327" s="22">
        <f t="shared" si="48"/>
        <v>3.8519039999999913</v>
      </c>
      <c r="J327" s="2"/>
      <c r="K327" s="2"/>
    </row>
    <row r="328" spans="1:13" x14ac:dyDescent="0.25">
      <c r="C328" s="18"/>
      <c r="D328" s="26">
        <f>SUM(D313:D327)</f>
        <v>1397.2</v>
      </c>
      <c r="E328" s="23">
        <f>SUM(E313:E327)</f>
        <v>1435.8520000000001</v>
      </c>
      <c r="F328" s="23">
        <f>SUM(F313:F327)</f>
        <v>1460.086</v>
      </c>
      <c r="G328" s="23">
        <f>SUM(G313:G327)</f>
        <v>20.836393199999971</v>
      </c>
      <c r="J328" s="2"/>
      <c r="K328" s="2"/>
    </row>
    <row r="329" spans="1:13" x14ac:dyDescent="0.25">
      <c r="A329" s="103"/>
      <c r="B329" s="103"/>
      <c r="C329" s="103"/>
      <c r="D329" s="103"/>
      <c r="E329" s="103"/>
      <c r="F329" s="103"/>
      <c r="G329" s="103"/>
      <c r="J329" s="2"/>
      <c r="K329" s="2"/>
      <c r="M329" s="62"/>
    </row>
    <row r="330" spans="1:13" x14ac:dyDescent="0.25">
      <c r="A330" s="104" t="s">
        <v>14</v>
      </c>
      <c r="G330" s="103"/>
      <c r="J330" s="2"/>
      <c r="K330" s="2"/>
      <c r="M330" s="62"/>
    </row>
    <row r="331" spans="1:13" x14ac:dyDescent="0.25">
      <c r="A331" s="103"/>
      <c r="F331" s="103"/>
      <c r="J331" s="2"/>
      <c r="K331" s="2"/>
      <c r="L331" s="62"/>
      <c r="M331" s="62"/>
    </row>
    <row r="332" spans="1:13" x14ac:dyDescent="0.25">
      <c r="J332" s="2"/>
      <c r="K332" s="2"/>
      <c r="L332" s="62"/>
      <c r="M332" s="62"/>
    </row>
  </sheetData>
  <mergeCells count="80">
    <mergeCell ref="B12:D12"/>
    <mergeCell ref="F12:H12"/>
    <mergeCell ref="A1:M1"/>
    <mergeCell ref="A3:M3"/>
    <mergeCell ref="A4:M4"/>
    <mergeCell ref="A6:J6"/>
    <mergeCell ref="M6:M10"/>
    <mergeCell ref="A7:E7"/>
    <mergeCell ref="F7:H7"/>
    <mergeCell ref="A8:E8"/>
    <mergeCell ref="F8:H8"/>
    <mergeCell ref="A9:A14"/>
    <mergeCell ref="B9:E10"/>
    <mergeCell ref="F9:H9"/>
    <mergeCell ref="F10:H10"/>
    <mergeCell ref="B11:D11"/>
    <mergeCell ref="F11:J11"/>
    <mergeCell ref="B19:D19"/>
    <mergeCell ref="F19:H19"/>
    <mergeCell ref="B20:D20"/>
    <mergeCell ref="F20:H20"/>
    <mergeCell ref="B13:D13"/>
    <mergeCell ref="F13:H13"/>
    <mergeCell ref="B14:D14"/>
    <mergeCell ref="F14:H14"/>
    <mergeCell ref="A15:E15"/>
    <mergeCell ref="F15:H15"/>
    <mergeCell ref="B21:D21"/>
    <mergeCell ref="F21:H21"/>
    <mergeCell ref="A22:E22"/>
    <mergeCell ref="F22:H22"/>
    <mergeCell ref="A23:A28"/>
    <mergeCell ref="B23:E24"/>
    <mergeCell ref="F23:H23"/>
    <mergeCell ref="F24:H24"/>
    <mergeCell ref="B25:D25"/>
    <mergeCell ref="F25:J25"/>
    <mergeCell ref="A16:A21"/>
    <mergeCell ref="B16:E17"/>
    <mergeCell ref="F16:H16"/>
    <mergeCell ref="F17:H17"/>
    <mergeCell ref="B18:D18"/>
    <mergeCell ref="F18:J18"/>
    <mergeCell ref="B26:D26"/>
    <mergeCell ref="F26:H26"/>
    <mergeCell ref="B27:D27"/>
    <mergeCell ref="F27:H27"/>
    <mergeCell ref="B28:D28"/>
    <mergeCell ref="F28:H28"/>
    <mergeCell ref="J36:J37"/>
    <mergeCell ref="F37:H37"/>
    <mergeCell ref="A29:E29"/>
    <mergeCell ref="F29:H29"/>
    <mergeCell ref="A30:A35"/>
    <mergeCell ref="B30:E31"/>
    <mergeCell ref="F30:H30"/>
    <mergeCell ref="F31:H31"/>
    <mergeCell ref="B32:D32"/>
    <mergeCell ref="F32:J32"/>
    <mergeCell ref="B33:D33"/>
    <mergeCell ref="F33:H33"/>
    <mergeCell ref="B34:D34"/>
    <mergeCell ref="F34:H34"/>
    <mergeCell ref="B35:D35"/>
    <mergeCell ref="F35:H35"/>
    <mergeCell ref="F36:H36"/>
    <mergeCell ref="A311:A312"/>
    <mergeCell ref="C311:C312"/>
    <mergeCell ref="D311:D312"/>
    <mergeCell ref="F38:H38"/>
    <mergeCell ref="F39:H39"/>
    <mergeCell ref="A120:C120"/>
    <mergeCell ref="E120:G120"/>
    <mergeCell ref="A180:C180"/>
    <mergeCell ref="E180:G180"/>
    <mergeCell ref="A237:C237"/>
    <mergeCell ref="E237:G237"/>
    <mergeCell ref="A307:C307"/>
    <mergeCell ref="E307:G307"/>
    <mergeCell ref="A308:C308"/>
  </mergeCells>
  <pageMargins left="0.78740157480314965" right="0" top="0" bottom="0" header="0.31496062992125984" footer="0.31496062992125984"/>
  <pageSetup paperSize="9" scale="16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32"/>
  <sheetViews>
    <sheetView tabSelected="1" zoomScaleNormal="100" workbookViewId="0">
      <selection activeCell="R16" sqref="R16"/>
    </sheetView>
  </sheetViews>
  <sheetFormatPr defaultRowHeight="15" x14ac:dyDescent="0.25"/>
  <cols>
    <col min="1" max="1" width="6.42578125" style="2" customWidth="1"/>
    <col min="2" max="2" width="16" style="2" customWidth="1"/>
    <col min="3" max="4" width="15" style="2" customWidth="1"/>
    <col min="5" max="5" width="9.5703125" style="2" customWidth="1"/>
    <col min="6" max="6" width="10.5703125" style="2" customWidth="1"/>
    <col min="7" max="9" width="10.28515625" style="2" customWidth="1"/>
    <col min="10" max="10" width="12.28515625" style="2" customWidth="1"/>
    <col min="11" max="11" width="11.28515625" style="62" customWidth="1"/>
    <col min="12" max="12" width="9.42578125" style="62" customWidth="1"/>
    <col min="13" max="13" width="2.140625" style="2" customWidth="1"/>
    <col min="14" max="14" width="26" style="2" customWidth="1"/>
    <col min="15" max="15" width="9.5703125" style="184" bestFit="1" customWidth="1"/>
    <col min="16" max="16" width="9.140625" style="2"/>
    <col min="17" max="17" width="12.5703125" style="2" bestFit="1" customWidth="1"/>
    <col min="18" max="16384" width="9.140625" style="2"/>
  </cols>
  <sheetData>
    <row r="1" spans="1:14" ht="20.25" x14ac:dyDescent="0.3">
      <c r="A1" s="255" t="s">
        <v>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ht="14.45" customHeight="1" x14ac:dyDescent="0.3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60"/>
      <c r="L2" s="60"/>
      <c r="M2" s="167"/>
      <c r="N2" s="167"/>
    </row>
    <row r="3" spans="1:14" ht="18.75" x14ac:dyDescent="0.25">
      <c r="A3" s="256" t="s">
        <v>15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1:14" ht="18.75" x14ac:dyDescent="0.25">
      <c r="A4" s="256" t="s">
        <v>165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14" ht="17.45" customHeigh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16.149999999999999" customHeight="1" x14ac:dyDescent="0.25">
      <c r="A6" s="237" t="s">
        <v>8</v>
      </c>
      <c r="B6" s="238"/>
      <c r="C6" s="238"/>
      <c r="D6" s="238"/>
      <c r="E6" s="238"/>
      <c r="F6" s="238"/>
      <c r="G6" s="238"/>
      <c r="H6" s="238"/>
      <c r="I6" s="238"/>
      <c r="J6" s="238"/>
      <c r="K6" s="239"/>
      <c r="L6" s="177"/>
      <c r="M6" s="75" t="s">
        <v>10</v>
      </c>
      <c r="N6" s="211" t="s">
        <v>11</v>
      </c>
    </row>
    <row r="7" spans="1:14" ht="37.9" customHeight="1" thickBot="1" x14ac:dyDescent="0.3">
      <c r="A7" s="258" t="s">
        <v>4</v>
      </c>
      <c r="B7" s="258"/>
      <c r="C7" s="258"/>
      <c r="D7" s="258"/>
      <c r="E7" s="258"/>
      <c r="F7" s="258"/>
      <c r="G7" s="244" t="s">
        <v>5</v>
      </c>
      <c r="H7" s="245"/>
      <c r="I7" s="245"/>
      <c r="J7" s="54"/>
      <c r="K7" s="170" t="s">
        <v>166</v>
      </c>
      <c r="L7" s="106"/>
      <c r="M7" s="75"/>
      <c r="N7" s="257"/>
    </row>
    <row r="8" spans="1:14" ht="27" customHeight="1" thickBot="1" x14ac:dyDescent="0.3">
      <c r="A8" s="259" t="s">
        <v>29</v>
      </c>
      <c r="B8" s="260"/>
      <c r="C8" s="261"/>
      <c r="D8" s="261"/>
      <c r="E8" s="261"/>
      <c r="F8" s="261"/>
      <c r="G8" s="262" t="s">
        <v>63</v>
      </c>
      <c r="H8" s="263"/>
      <c r="I8" s="264"/>
      <c r="J8" s="173"/>
      <c r="K8" s="50">
        <v>86.32</v>
      </c>
      <c r="L8" s="76"/>
      <c r="M8" s="75"/>
      <c r="N8" s="257"/>
    </row>
    <row r="9" spans="1:14" ht="13.9" customHeight="1" x14ac:dyDescent="0.25">
      <c r="A9" s="247"/>
      <c r="B9" s="262" t="s">
        <v>64</v>
      </c>
      <c r="C9" s="263"/>
      <c r="D9" s="263"/>
      <c r="E9" s="263"/>
      <c r="F9" s="264"/>
      <c r="G9" s="268" t="s">
        <v>16</v>
      </c>
      <c r="H9" s="269"/>
      <c r="I9" s="270"/>
      <c r="J9" s="175"/>
      <c r="K9" s="43">
        <f>K13+K12+K14</f>
        <v>74.562211834277775</v>
      </c>
      <c r="L9" s="77"/>
      <c r="M9" s="75"/>
      <c r="N9" s="257"/>
    </row>
    <row r="10" spans="1:14" ht="13.9" customHeight="1" x14ac:dyDescent="0.25">
      <c r="A10" s="229"/>
      <c r="B10" s="265"/>
      <c r="C10" s="266"/>
      <c r="D10" s="266"/>
      <c r="E10" s="266"/>
      <c r="F10" s="267"/>
      <c r="G10" s="237" t="s">
        <v>18</v>
      </c>
      <c r="H10" s="238"/>
      <c r="I10" s="239"/>
      <c r="J10" s="169"/>
      <c r="K10" s="31">
        <f>K8-K13-K12-K14</f>
        <v>11.757788165722218</v>
      </c>
      <c r="L10" s="77"/>
      <c r="M10" s="75"/>
      <c r="N10" s="212"/>
    </row>
    <row r="11" spans="1:14" ht="13.9" customHeight="1" x14ac:dyDescent="0.25">
      <c r="A11" s="229"/>
      <c r="B11" s="240" t="s">
        <v>65</v>
      </c>
      <c r="C11" s="241"/>
      <c r="D11" s="241"/>
      <c r="E11" s="241"/>
      <c r="F11" s="55">
        <f>E120</f>
        <v>5798.800000000002</v>
      </c>
      <c r="G11" s="234"/>
      <c r="H11" s="235"/>
      <c r="I11" s="235"/>
      <c r="J11" s="235"/>
      <c r="K11" s="236"/>
      <c r="L11" s="77"/>
      <c r="M11" s="75"/>
      <c r="N11" s="41"/>
    </row>
    <row r="12" spans="1:14" ht="25.5" customHeight="1" x14ac:dyDescent="0.25">
      <c r="A12" s="229"/>
      <c r="B12" s="240" t="s">
        <v>67</v>
      </c>
      <c r="C12" s="241"/>
      <c r="D12" s="241"/>
      <c r="E12" s="271"/>
      <c r="F12" s="56">
        <f>SUM(E45,E49,E54,E56,E62,E69,E72,E77,E80,E86,E92:E93,E96,E98,E106,E112:E113)</f>
        <v>1166.4999999999998</v>
      </c>
      <c r="G12" s="237" t="s">
        <v>83</v>
      </c>
      <c r="H12" s="238"/>
      <c r="I12" s="239"/>
      <c r="J12" s="176"/>
      <c r="K12" s="7">
        <f>J120</f>
        <v>30.637302174277785</v>
      </c>
      <c r="L12" s="77"/>
      <c r="M12" s="75"/>
      <c r="N12" s="44"/>
    </row>
    <row r="13" spans="1:14" ht="25.5" customHeight="1" x14ac:dyDescent="0.25">
      <c r="A13" s="229"/>
      <c r="B13" s="240" t="s">
        <v>84</v>
      </c>
      <c r="C13" s="241"/>
      <c r="D13" s="241"/>
      <c r="E13" s="241"/>
      <c r="F13" s="56">
        <f>SUM(E42:E44,E46:E48,E50:E53,E55,E57:E61,E63:E68,E70:E71,E73:E76,E78:E79,E81:E85,E87:E91,E94:E95,E97,E99:E105,E107:E111,E114:E115)</f>
        <v>4172.2000000000016</v>
      </c>
      <c r="G13" s="237" t="s">
        <v>66</v>
      </c>
      <c r="H13" s="238"/>
      <c r="I13" s="239"/>
      <c r="J13" s="169"/>
      <c r="K13" s="7">
        <f>I120</f>
        <v>43.92490965999999</v>
      </c>
      <c r="L13" s="77"/>
      <c r="M13" s="75"/>
      <c r="N13" s="41"/>
    </row>
    <row r="14" spans="1:14" ht="25.5" customHeight="1" thickBot="1" x14ac:dyDescent="0.3">
      <c r="A14" s="230"/>
      <c r="B14" s="242" t="s">
        <v>85</v>
      </c>
      <c r="C14" s="243"/>
      <c r="D14" s="243"/>
      <c r="E14" s="243"/>
      <c r="F14" s="57">
        <v>0</v>
      </c>
      <c r="G14" s="244" t="s">
        <v>86</v>
      </c>
      <c r="H14" s="245"/>
      <c r="I14" s="246"/>
      <c r="J14" s="172"/>
      <c r="K14" s="46">
        <v>0</v>
      </c>
      <c r="L14" s="77"/>
      <c r="M14" s="75"/>
      <c r="N14" s="41"/>
    </row>
    <row r="15" spans="1:14" ht="27.75" customHeight="1" thickBot="1" x14ac:dyDescent="0.3">
      <c r="A15" s="249" t="s">
        <v>90</v>
      </c>
      <c r="B15" s="250"/>
      <c r="C15" s="251"/>
      <c r="D15" s="251"/>
      <c r="E15" s="251"/>
      <c r="F15" s="251"/>
      <c r="G15" s="252" t="s">
        <v>68</v>
      </c>
      <c r="H15" s="253"/>
      <c r="I15" s="254"/>
      <c r="J15" s="177"/>
      <c r="K15" s="180">
        <v>59.709000000000003</v>
      </c>
      <c r="L15" s="78"/>
      <c r="M15" s="75"/>
      <c r="N15" s="14"/>
    </row>
    <row r="16" spans="1:14" ht="13.9" customHeight="1" x14ac:dyDescent="0.25">
      <c r="A16" s="247"/>
      <c r="B16" s="248" t="s">
        <v>64</v>
      </c>
      <c r="C16" s="248"/>
      <c r="D16" s="248"/>
      <c r="E16" s="248"/>
      <c r="F16" s="248"/>
      <c r="G16" s="248" t="s">
        <v>17</v>
      </c>
      <c r="H16" s="248"/>
      <c r="I16" s="248"/>
      <c r="J16" s="179"/>
      <c r="K16" s="43">
        <f>K20+K19+K21</f>
        <v>47.511744619620885</v>
      </c>
      <c r="L16" s="77"/>
      <c r="M16" s="75"/>
      <c r="N16" s="14" t="s">
        <v>52</v>
      </c>
    </row>
    <row r="17" spans="1:14" ht="13.9" customHeight="1" x14ac:dyDescent="0.25">
      <c r="A17" s="229"/>
      <c r="B17" s="232"/>
      <c r="C17" s="232"/>
      <c r="D17" s="232"/>
      <c r="E17" s="232"/>
      <c r="F17" s="232"/>
      <c r="G17" s="232" t="s">
        <v>19</v>
      </c>
      <c r="H17" s="232"/>
      <c r="I17" s="232"/>
      <c r="J17" s="176"/>
      <c r="K17" s="31">
        <f>K15-K20-K19-K21</f>
        <v>12.197255380379119</v>
      </c>
      <c r="L17" s="77"/>
      <c r="M17" s="75"/>
      <c r="N17" s="14" t="s">
        <v>32</v>
      </c>
    </row>
    <row r="18" spans="1:14" ht="13.9" customHeight="1" x14ac:dyDescent="0.25">
      <c r="A18" s="229"/>
      <c r="B18" s="233" t="s">
        <v>65</v>
      </c>
      <c r="C18" s="233"/>
      <c r="D18" s="233"/>
      <c r="E18" s="233"/>
      <c r="F18" s="55">
        <f>E180</f>
        <v>4176.5999999999995</v>
      </c>
      <c r="G18" s="234"/>
      <c r="H18" s="235"/>
      <c r="I18" s="235"/>
      <c r="J18" s="235"/>
      <c r="K18" s="236"/>
      <c r="L18" s="77"/>
      <c r="M18" s="75"/>
      <c r="N18" s="14"/>
    </row>
    <row r="19" spans="1:14" ht="29.25" customHeight="1" x14ac:dyDescent="0.25">
      <c r="A19" s="229"/>
      <c r="B19" s="233" t="s">
        <v>67</v>
      </c>
      <c r="C19" s="233"/>
      <c r="D19" s="233"/>
      <c r="E19" s="233"/>
      <c r="F19" s="56">
        <f>SUM(E126,E130:E131,E136,E141,E151,E153,E167:E168,E173)</f>
        <v>706.2</v>
      </c>
      <c r="G19" s="237" t="s">
        <v>83</v>
      </c>
      <c r="H19" s="238"/>
      <c r="I19" s="239"/>
      <c r="J19" s="176"/>
      <c r="K19" s="7">
        <f>J180</f>
        <v>18.694838219620884</v>
      </c>
      <c r="L19" s="77"/>
      <c r="M19" s="75"/>
      <c r="N19" s="14"/>
    </row>
    <row r="20" spans="1:14" ht="29.25" customHeight="1" x14ac:dyDescent="0.25">
      <c r="A20" s="229"/>
      <c r="B20" s="240" t="s">
        <v>84</v>
      </c>
      <c r="C20" s="241"/>
      <c r="D20" s="241"/>
      <c r="E20" s="241"/>
      <c r="F20" s="56">
        <f>SUM(E121:E125,E127:E129,E132:E135,E137:E140,E142:E150,E152,E154:E161,E162:E166,E169:E172,E174:E176)</f>
        <v>3212.7999999999997</v>
      </c>
      <c r="G20" s="232" t="s">
        <v>66</v>
      </c>
      <c r="H20" s="232"/>
      <c r="I20" s="232"/>
      <c r="J20" s="176"/>
      <c r="K20" s="7">
        <f>I180</f>
        <v>28.816906400000001</v>
      </c>
      <c r="L20" s="77"/>
      <c r="M20" s="75"/>
      <c r="N20" s="14"/>
    </row>
    <row r="21" spans="1:14" ht="29.25" customHeight="1" thickBot="1" x14ac:dyDescent="0.3">
      <c r="A21" s="230"/>
      <c r="B21" s="242" t="s">
        <v>85</v>
      </c>
      <c r="C21" s="243"/>
      <c r="D21" s="243"/>
      <c r="E21" s="243"/>
      <c r="F21" s="57">
        <v>0</v>
      </c>
      <c r="G21" s="244" t="s">
        <v>86</v>
      </c>
      <c r="H21" s="245"/>
      <c r="I21" s="246"/>
      <c r="J21" s="172"/>
      <c r="K21" s="46">
        <v>0</v>
      </c>
      <c r="L21" s="77"/>
      <c r="M21" s="75"/>
      <c r="N21" s="14"/>
    </row>
    <row r="22" spans="1:14" ht="24.75" customHeight="1" thickBot="1" x14ac:dyDescent="0.3">
      <c r="A22" s="226" t="s">
        <v>30</v>
      </c>
      <c r="B22" s="227"/>
      <c r="C22" s="227"/>
      <c r="D22" s="227"/>
      <c r="E22" s="227"/>
      <c r="F22" s="227"/>
      <c r="G22" s="228" t="s">
        <v>20</v>
      </c>
      <c r="H22" s="228"/>
      <c r="I22" s="228"/>
      <c r="J22" s="178"/>
      <c r="K22" s="51">
        <v>49.636000000000003</v>
      </c>
      <c r="L22" s="78"/>
      <c r="M22" s="75"/>
      <c r="N22" s="11"/>
    </row>
    <row r="23" spans="1:14" ht="13.9" customHeight="1" x14ac:dyDescent="0.25">
      <c r="A23" s="247"/>
      <c r="B23" s="248" t="s">
        <v>64</v>
      </c>
      <c r="C23" s="248"/>
      <c r="D23" s="248"/>
      <c r="E23" s="248"/>
      <c r="F23" s="248"/>
      <c r="G23" s="248" t="s">
        <v>21</v>
      </c>
      <c r="H23" s="248"/>
      <c r="I23" s="248"/>
      <c r="J23" s="179"/>
      <c r="K23" s="43">
        <f>K27+K26+K28</f>
        <v>37.781602000000007</v>
      </c>
      <c r="L23" s="77"/>
      <c r="M23" s="75"/>
      <c r="N23" s="3"/>
    </row>
    <row r="24" spans="1:14" ht="13.9" customHeight="1" x14ac:dyDescent="0.25">
      <c r="A24" s="229"/>
      <c r="B24" s="232"/>
      <c r="C24" s="232"/>
      <c r="D24" s="232"/>
      <c r="E24" s="232"/>
      <c r="F24" s="232"/>
      <c r="G24" s="232" t="s">
        <v>22</v>
      </c>
      <c r="H24" s="232"/>
      <c r="I24" s="232"/>
      <c r="J24" s="176"/>
      <c r="K24" s="31">
        <f>K22-K27-K26-K28</f>
        <v>11.854398</v>
      </c>
      <c r="L24" s="77"/>
      <c r="M24" s="75"/>
      <c r="N24" s="3"/>
    </row>
    <row r="25" spans="1:14" ht="13.9" customHeight="1" x14ac:dyDescent="0.25">
      <c r="A25" s="229"/>
      <c r="B25" s="233" t="s">
        <v>65</v>
      </c>
      <c r="C25" s="233"/>
      <c r="D25" s="233"/>
      <c r="E25" s="233"/>
      <c r="F25" s="55">
        <f>E237</f>
        <v>3971.8000000000015</v>
      </c>
      <c r="G25" s="234"/>
      <c r="H25" s="235"/>
      <c r="I25" s="235"/>
      <c r="J25" s="235"/>
      <c r="K25" s="236"/>
      <c r="L25" s="77"/>
      <c r="M25" s="75"/>
      <c r="N25" s="3"/>
    </row>
    <row r="26" spans="1:14" ht="27.75" customHeight="1" x14ac:dyDescent="0.25">
      <c r="A26" s="229"/>
      <c r="B26" s="233" t="s">
        <v>67</v>
      </c>
      <c r="C26" s="233"/>
      <c r="D26" s="233"/>
      <c r="E26" s="233"/>
      <c r="F26" s="56">
        <f>SUM(E186,E194,E199,E217:E218,E223,E230:E231)</f>
        <v>480.2</v>
      </c>
      <c r="G26" s="237" t="s">
        <v>83</v>
      </c>
      <c r="H26" s="238"/>
      <c r="I26" s="239"/>
      <c r="J26" s="176"/>
      <c r="K26" s="7">
        <f>J237</f>
        <v>12.347999999999999</v>
      </c>
      <c r="L26" s="77"/>
      <c r="M26" s="75"/>
      <c r="N26" s="3"/>
    </row>
    <row r="27" spans="1:14" ht="27.75" customHeight="1" x14ac:dyDescent="0.25">
      <c r="A27" s="229"/>
      <c r="B27" s="240" t="s">
        <v>84</v>
      </c>
      <c r="C27" s="241"/>
      <c r="D27" s="241"/>
      <c r="E27" s="241"/>
      <c r="F27" s="56">
        <f>SUM(E181:E185,E187:E193,E195:E198,E200:E216,E219:E222,E224:E229,E232)</f>
        <v>3192.4</v>
      </c>
      <c r="G27" s="232" t="s">
        <v>66</v>
      </c>
      <c r="H27" s="232"/>
      <c r="I27" s="232"/>
      <c r="J27" s="176"/>
      <c r="K27" s="7">
        <f>I237</f>
        <v>25.433602000000004</v>
      </c>
      <c r="L27" s="77"/>
      <c r="M27" s="75"/>
      <c r="N27" s="3"/>
    </row>
    <row r="28" spans="1:14" ht="27.75" customHeight="1" thickBot="1" x14ac:dyDescent="0.3">
      <c r="A28" s="230"/>
      <c r="B28" s="242" t="s">
        <v>85</v>
      </c>
      <c r="C28" s="243"/>
      <c r="D28" s="243"/>
      <c r="E28" s="243"/>
      <c r="F28" s="57">
        <v>0</v>
      </c>
      <c r="G28" s="244" t="s">
        <v>86</v>
      </c>
      <c r="H28" s="245"/>
      <c r="I28" s="246"/>
      <c r="J28" s="172"/>
      <c r="K28" s="46">
        <v>0</v>
      </c>
      <c r="L28" s="77"/>
      <c r="M28" s="75"/>
      <c r="N28" s="3"/>
    </row>
    <row r="29" spans="1:14" ht="25.5" customHeight="1" thickBot="1" x14ac:dyDescent="0.3">
      <c r="A29" s="226" t="s">
        <v>31</v>
      </c>
      <c r="B29" s="227"/>
      <c r="C29" s="227"/>
      <c r="D29" s="227"/>
      <c r="E29" s="227"/>
      <c r="F29" s="227"/>
      <c r="G29" s="228" t="s">
        <v>23</v>
      </c>
      <c r="H29" s="228"/>
      <c r="I29" s="228"/>
      <c r="J29" s="178"/>
      <c r="K29" s="51">
        <v>77.082999999999998</v>
      </c>
      <c r="L29" s="78"/>
      <c r="M29" s="75"/>
      <c r="N29" s="3"/>
    </row>
    <row r="30" spans="1:14" ht="13.9" customHeight="1" x14ac:dyDescent="0.25">
      <c r="A30" s="229"/>
      <c r="B30" s="231" t="s">
        <v>64</v>
      </c>
      <c r="C30" s="231"/>
      <c r="D30" s="231"/>
      <c r="E30" s="231"/>
      <c r="F30" s="231"/>
      <c r="G30" s="231" t="s">
        <v>24</v>
      </c>
      <c r="H30" s="231"/>
      <c r="I30" s="231"/>
      <c r="J30" s="181"/>
      <c r="K30" s="45">
        <f>K34+K33+K35</f>
        <v>69.034369037455036</v>
      </c>
      <c r="L30" s="77"/>
      <c r="M30" s="75"/>
      <c r="N30" s="3"/>
    </row>
    <row r="31" spans="1:14" ht="13.9" customHeight="1" x14ac:dyDescent="0.25">
      <c r="A31" s="229"/>
      <c r="B31" s="232"/>
      <c r="C31" s="232"/>
      <c r="D31" s="232"/>
      <c r="E31" s="232"/>
      <c r="F31" s="232"/>
      <c r="G31" s="232" t="s">
        <v>25</v>
      </c>
      <c r="H31" s="232"/>
      <c r="I31" s="232"/>
      <c r="J31" s="176"/>
      <c r="K31" s="31">
        <f>K29-K34-K33-K35</f>
        <v>8.048630962544955</v>
      </c>
      <c r="L31" s="77"/>
      <c r="M31" s="75"/>
      <c r="N31" s="3"/>
    </row>
    <row r="32" spans="1:14" ht="13.9" customHeight="1" x14ac:dyDescent="0.25">
      <c r="A32" s="229"/>
      <c r="B32" s="233" t="s">
        <v>65</v>
      </c>
      <c r="C32" s="233"/>
      <c r="D32" s="233"/>
      <c r="E32" s="233"/>
      <c r="F32" s="55">
        <f>E307</f>
        <v>5040.4000000000015</v>
      </c>
      <c r="G32" s="234"/>
      <c r="H32" s="235"/>
      <c r="I32" s="235"/>
      <c r="J32" s="235"/>
      <c r="K32" s="236"/>
      <c r="L32" s="77"/>
      <c r="M32" s="75"/>
      <c r="N32" s="3"/>
    </row>
    <row r="33" spans="1:15" ht="26.25" customHeight="1" x14ac:dyDescent="0.25">
      <c r="A33" s="229"/>
      <c r="B33" s="233" t="s">
        <v>67</v>
      </c>
      <c r="C33" s="233"/>
      <c r="D33" s="233"/>
      <c r="E33" s="233"/>
      <c r="F33" s="56">
        <f>SUM(E240,E243,E249,E258:E259,E261:E262,E264,E269,E272,E274,E280:E281,E283,E286,E289,E291,E295:E297,E301)</f>
        <v>1390.1</v>
      </c>
      <c r="G33" s="237" t="s">
        <v>83</v>
      </c>
      <c r="H33" s="238"/>
      <c r="I33" s="239"/>
      <c r="J33" s="176"/>
      <c r="K33" s="7">
        <f>J307</f>
        <v>32.728614437455072</v>
      </c>
      <c r="L33" s="77"/>
      <c r="M33" s="75"/>
      <c r="N33" s="3"/>
    </row>
    <row r="34" spans="1:15" ht="26.25" customHeight="1" x14ac:dyDescent="0.25">
      <c r="A34" s="229"/>
      <c r="B34" s="240" t="s">
        <v>84</v>
      </c>
      <c r="C34" s="241"/>
      <c r="D34" s="241"/>
      <c r="E34" s="241"/>
      <c r="F34" s="56">
        <f>SUM(E238:E239,E241:E242,E244:E248,E250:E257,E260,E263,E265:E268,E270:E271,E273,E275:E279,E282,E284:E285,E287:E288,E290,E292:E294,E298:E300,E302:E306)</f>
        <v>3650.3</v>
      </c>
      <c r="G34" s="232" t="s">
        <v>66</v>
      </c>
      <c r="H34" s="232"/>
      <c r="I34" s="232"/>
      <c r="J34" s="176"/>
      <c r="K34" s="7">
        <f>I307</f>
        <v>36.305754599999972</v>
      </c>
      <c r="L34" s="77"/>
      <c r="M34" s="75"/>
      <c r="N34" s="3"/>
    </row>
    <row r="35" spans="1:15" ht="26.25" customHeight="1" thickBot="1" x14ac:dyDescent="0.3">
      <c r="A35" s="230"/>
      <c r="B35" s="242" t="s">
        <v>85</v>
      </c>
      <c r="C35" s="243"/>
      <c r="D35" s="243"/>
      <c r="E35" s="243"/>
      <c r="F35" s="57">
        <v>0</v>
      </c>
      <c r="G35" s="244" t="s">
        <v>86</v>
      </c>
      <c r="H35" s="245"/>
      <c r="I35" s="246"/>
      <c r="J35" s="172"/>
      <c r="K35" s="46">
        <v>0</v>
      </c>
      <c r="L35" s="77"/>
      <c r="M35" s="75"/>
      <c r="N35" s="3"/>
    </row>
    <row r="36" spans="1:15" ht="13.9" customHeight="1" x14ac:dyDescent="0.25">
      <c r="A36" s="79"/>
      <c r="B36" s="79"/>
      <c r="C36" s="79"/>
      <c r="D36" s="79"/>
      <c r="E36" s="79"/>
      <c r="F36" s="79"/>
      <c r="G36" s="204" t="s">
        <v>26</v>
      </c>
      <c r="H36" s="205"/>
      <c r="I36" s="206"/>
      <c r="J36" s="179"/>
      <c r="K36" s="223">
        <f>K8+K15+K22+K29</f>
        <v>272.74799999999999</v>
      </c>
      <c r="L36" s="80"/>
      <c r="M36" s="75"/>
      <c r="N36" s="3"/>
    </row>
    <row r="37" spans="1:15" ht="13.9" customHeight="1" x14ac:dyDescent="0.25">
      <c r="A37" s="79"/>
      <c r="B37" s="79"/>
      <c r="C37" s="79"/>
      <c r="D37" s="79"/>
      <c r="E37" s="79"/>
      <c r="F37" s="79"/>
      <c r="G37" s="224" t="s">
        <v>27</v>
      </c>
      <c r="H37" s="225"/>
      <c r="I37" s="214"/>
      <c r="J37" s="79"/>
      <c r="K37" s="223"/>
      <c r="L37" s="80"/>
      <c r="M37" s="75"/>
      <c r="N37" s="3"/>
    </row>
    <row r="38" spans="1:15" ht="13.9" customHeight="1" x14ac:dyDescent="0.25">
      <c r="A38" s="79"/>
      <c r="B38" s="79"/>
      <c r="C38" s="79"/>
      <c r="D38" s="79"/>
      <c r="E38" s="79"/>
      <c r="F38" s="79"/>
      <c r="G38" s="213" t="s">
        <v>28</v>
      </c>
      <c r="H38" s="214"/>
      <c r="I38" s="215"/>
      <c r="J38" s="81"/>
      <c r="K38" s="31">
        <f>K9+K16+K23+K30</f>
        <v>228.88992749135369</v>
      </c>
      <c r="L38" s="77"/>
      <c r="M38" s="75"/>
      <c r="N38" s="3"/>
    </row>
    <row r="39" spans="1:15" ht="13.9" customHeight="1" thickBot="1" x14ac:dyDescent="0.3">
      <c r="A39" s="79"/>
      <c r="B39" s="79"/>
      <c r="C39" s="79"/>
      <c r="D39" s="79"/>
      <c r="E39" s="79"/>
      <c r="F39" s="79"/>
      <c r="G39" s="216" t="s">
        <v>9</v>
      </c>
      <c r="H39" s="217"/>
      <c r="I39" s="218"/>
      <c r="J39" s="82"/>
      <c r="K39" s="61">
        <f>K10+K17+K24+K31</f>
        <v>43.858072508646295</v>
      </c>
      <c r="L39" s="77"/>
      <c r="M39" s="75"/>
      <c r="N39" s="3"/>
    </row>
    <row r="40" spans="1:15" ht="14.45" customHeight="1" x14ac:dyDescent="0.25">
      <c r="N40" s="3"/>
    </row>
    <row r="41" spans="1:15" s="11" customFormat="1" ht="61.5" customHeight="1" x14ac:dyDescent="0.25">
      <c r="A41" s="83" t="s">
        <v>0</v>
      </c>
      <c r="B41" s="83" t="s">
        <v>55</v>
      </c>
      <c r="C41" s="84" t="s">
        <v>1</v>
      </c>
      <c r="D41" s="84" t="s">
        <v>167</v>
      </c>
      <c r="E41" s="83" t="s">
        <v>2</v>
      </c>
      <c r="F41" s="85" t="s">
        <v>162</v>
      </c>
      <c r="G41" s="85" t="s">
        <v>168</v>
      </c>
      <c r="H41" s="85" t="s">
        <v>33</v>
      </c>
      <c r="I41" s="85" t="s">
        <v>12</v>
      </c>
      <c r="J41" s="86" t="s">
        <v>87</v>
      </c>
      <c r="K41" s="63" t="s">
        <v>6</v>
      </c>
      <c r="L41" s="87" t="s">
        <v>13</v>
      </c>
      <c r="M41" s="88"/>
      <c r="N41" s="13"/>
      <c r="O41" s="185"/>
    </row>
    <row r="42" spans="1:15" x14ac:dyDescent="0.25">
      <c r="A42" s="1">
        <v>1</v>
      </c>
      <c r="B42" s="47">
        <v>46305</v>
      </c>
      <c r="C42" s="66">
        <v>43441363</v>
      </c>
      <c r="D42" s="66" t="s">
        <v>169</v>
      </c>
      <c r="E42" s="176">
        <v>112.5</v>
      </c>
      <c r="F42" s="5">
        <v>91.206999999999994</v>
      </c>
      <c r="G42" s="5">
        <v>93.510999999999996</v>
      </c>
      <c r="H42" s="5">
        <f>G42-F42</f>
        <v>2.304000000000002</v>
      </c>
      <c r="I42" s="16">
        <f>H42*0.8598</f>
        <v>1.9809792000000017</v>
      </c>
      <c r="J42" s="16"/>
      <c r="K42" s="16">
        <f t="shared" ref="K42:K44" si="0">E42/($F$11-$F$12)*$K$10</f>
        <v>0.2855495474480817</v>
      </c>
      <c r="L42" s="16">
        <f>I42+J42+K42</f>
        <v>2.2665287474480835</v>
      </c>
      <c r="N42" s="13" t="s">
        <v>69</v>
      </c>
    </row>
    <row r="43" spans="1:15" x14ac:dyDescent="0.25">
      <c r="A43" s="1">
        <v>2</v>
      </c>
      <c r="B43" s="47">
        <v>45915</v>
      </c>
      <c r="C43" s="66">
        <v>43242252</v>
      </c>
      <c r="D43" s="66" t="s">
        <v>169</v>
      </c>
      <c r="E43" s="176">
        <v>58.7</v>
      </c>
      <c r="F43" s="5">
        <v>51.63</v>
      </c>
      <c r="G43" s="5">
        <v>52.411999999999999</v>
      </c>
      <c r="H43" s="5">
        <f>G43-F43</f>
        <v>0.78199999999999648</v>
      </c>
      <c r="I43" s="16">
        <f t="shared" ref="I43:I106" si="1">H43*0.8598</f>
        <v>0.67236359999999695</v>
      </c>
      <c r="J43" s="16"/>
      <c r="K43" s="16">
        <f t="shared" si="0"/>
        <v>0.14899340831291022</v>
      </c>
      <c r="L43" s="16">
        <f>I43+J43+K43</f>
        <v>0.82135700831290714</v>
      </c>
      <c r="N43" s="13" t="s">
        <v>69</v>
      </c>
    </row>
    <row r="44" spans="1:15" x14ac:dyDescent="0.25">
      <c r="A44" s="1">
        <v>3</v>
      </c>
      <c r="B44" s="52">
        <v>45686</v>
      </c>
      <c r="C44" s="10" t="s">
        <v>91</v>
      </c>
      <c r="D44" s="66" t="s">
        <v>54</v>
      </c>
      <c r="E44" s="176">
        <v>50.5</v>
      </c>
      <c r="F44" s="39">
        <v>3.9460000000000002</v>
      </c>
      <c r="G44" s="39">
        <v>4.2809999999999997</v>
      </c>
      <c r="H44" s="5"/>
      <c r="I44" s="16">
        <f>G44-F44</f>
        <v>0.33499999999999952</v>
      </c>
      <c r="J44" s="16"/>
      <c r="K44" s="16">
        <f t="shared" si="0"/>
        <v>0.12818001907669446</v>
      </c>
      <c r="L44" s="16">
        <f t="shared" ref="L44:L58" si="2">I44+J44+K44</f>
        <v>0.46318001907669398</v>
      </c>
      <c r="N44" s="13" t="s">
        <v>69</v>
      </c>
    </row>
    <row r="45" spans="1:15" x14ac:dyDescent="0.25">
      <c r="A45" s="1">
        <v>4</v>
      </c>
      <c r="B45" s="34"/>
      <c r="C45" s="66">
        <v>43441362</v>
      </c>
      <c r="D45" s="66" t="s">
        <v>54</v>
      </c>
      <c r="E45" s="176">
        <v>51.8</v>
      </c>
      <c r="F45" s="5">
        <v>36.752000000000002</v>
      </c>
      <c r="G45" s="5">
        <v>37.354999999999997</v>
      </c>
      <c r="H45" s="5"/>
      <c r="I45" s="16">
        <f t="shared" si="1"/>
        <v>0</v>
      </c>
      <c r="J45" s="16">
        <f>(((E45*0.015)*12)/7)</f>
        <v>1.3319999999999996</v>
      </c>
      <c r="K45" s="16"/>
      <c r="L45" s="16">
        <f t="shared" si="2"/>
        <v>1.3319999999999996</v>
      </c>
      <c r="N45" s="13" t="s">
        <v>71</v>
      </c>
    </row>
    <row r="46" spans="1:15" x14ac:dyDescent="0.25">
      <c r="A46" s="1">
        <v>5</v>
      </c>
      <c r="B46" s="47">
        <v>45598</v>
      </c>
      <c r="C46" s="66">
        <v>43242251</v>
      </c>
      <c r="D46" s="66" t="s">
        <v>169</v>
      </c>
      <c r="E46" s="176">
        <v>52.9</v>
      </c>
      <c r="F46" s="5">
        <v>27.231999999999999</v>
      </c>
      <c r="G46" s="5">
        <v>28.113</v>
      </c>
      <c r="H46" s="5">
        <f>G46-F46</f>
        <v>0.88100000000000023</v>
      </c>
      <c r="I46" s="16">
        <f t="shared" si="1"/>
        <v>0.75748380000000015</v>
      </c>
      <c r="J46" s="16"/>
      <c r="K46" s="16">
        <f t="shared" ref="K46:K105" si="3">E46/($F$11-$F$12)*$K$10</f>
        <v>0.13427174275558687</v>
      </c>
      <c r="L46" s="16">
        <f t="shared" si="2"/>
        <v>0.89175554275558699</v>
      </c>
      <c r="N46" s="13" t="s">
        <v>69</v>
      </c>
    </row>
    <row r="47" spans="1:15" x14ac:dyDescent="0.25">
      <c r="A47" s="1">
        <v>6</v>
      </c>
      <c r="B47" s="47">
        <v>45453</v>
      </c>
      <c r="C47" s="10" t="s">
        <v>56</v>
      </c>
      <c r="D47" s="66" t="s">
        <v>54</v>
      </c>
      <c r="E47" s="176">
        <v>99.6</v>
      </c>
      <c r="F47" s="39">
        <v>11.014200000000001</v>
      </c>
      <c r="G47" s="39">
        <v>11.741</v>
      </c>
      <c r="H47" s="39"/>
      <c r="I47" s="16">
        <f>G47-F47</f>
        <v>0.726799999999999</v>
      </c>
      <c r="J47" s="16"/>
      <c r="K47" s="16">
        <f t="shared" si="3"/>
        <v>0.25280653267403502</v>
      </c>
      <c r="L47" s="16">
        <f t="shared" si="2"/>
        <v>0.97960653267403397</v>
      </c>
      <c r="N47" s="13" t="s">
        <v>69</v>
      </c>
    </row>
    <row r="48" spans="1:15" x14ac:dyDescent="0.25">
      <c r="A48" s="1">
        <v>7</v>
      </c>
      <c r="B48" s="47">
        <v>45594</v>
      </c>
      <c r="C48" s="10" t="s">
        <v>70</v>
      </c>
      <c r="D48" s="66" t="s">
        <v>54</v>
      </c>
      <c r="E48" s="176">
        <v>112.6</v>
      </c>
      <c r="F48" s="39">
        <v>14.874000000000001</v>
      </c>
      <c r="G48" s="39">
        <v>16.105</v>
      </c>
      <c r="H48" s="39"/>
      <c r="I48" s="16">
        <f>G48-F48</f>
        <v>1.2309999999999999</v>
      </c>
      <c r="J48" s="16"/>
      <c r="K48" s="16">
        <f t="shared" si="3"/>
        <v>0.28580336926803557</v>
      </c>
      <c r="L48" s="16">
        <f t="shared" si="2"/>
        <v>1.5168033692680354</v>
      </c>
      <c r="N48" s="13" t="s">
        <v>69</v>
      </c>
    </row>
    <row r="49" spans="1:14" x14ac:dyDescent="0.25">
      <c r="A49" s="1">
        <v>8</v>
      </c>
      <c r="B49" s="34"/>
      <c r="C49" s="66">
        <v>43441368</v>
      </c>
      <c r="D49" s="66" t="s">
        <v>54</v>
      </c>
      <c r="E49" s="176">
        <v>62.5</v>
      </c>
      <c r="F49" s="5">
        <v>17.907</v>
      </c>
      <c r="G49" s="5">
        <v>18.303000000000001</v>
      </c>
      <c r="H49" s="5"/>
      <c r="I49" s="16">
        <f t="shared" si="1"/>
        <v>0</v>
      </c>
      <c r="J49" s="16">
        <f>(((E49*0.015)*12)/7)</f>
        <v>1.6071428571428572</v>
      </c>
      <c r="K49" s="16"/>
      <c r="L49" s="16">
        <f t="shared" si="2"/>
        <v>1.6071428571428572</v>
      </c>
      <c r="N49" s="13" t="s">
        <v>71</v>
      </c>
    </row>
    <row r="50" spans="1:14" x14ac:dyDescent="0.25">
      <c r="A50" s="1">
        <v>9</v>
      </c>
      <c r="B50" s="47">
        <v>46160</v>
      </c>
      <c r="C50" s="66">
        <v>43441366</v>
      </c>
      <c r="D50" s="66" t="s">
        <v>169</v>
      </c>
      <c r="E50" s="176">
        <v>50.5</v>
      </c>
      <c r="F50" s="5">
        <v>45.904000000000003</v>
      </c>
      <c r="G50" s="5">
        <v>46.94</v>
      </c>
      <c r="H50" s="5">
        <f>G50-F50</f>
        <v>1.0359999999999943</v>
      </c>
      <c r="I50" s="16">
        <f t="shared" si="1"/>
        <v>0.89075279999999513</v>
      </c>
      <c r="J50" s="16"/>
      <c r="K50" s="16">
        <f t="shared" si="3"/>
        <v>0.12818001907669446</v>
      </c>
      <c r="L50" s="16">
        <f t="shared" si="2"/>
        <v>1.0189328190766895</v>
      </c>
      <c r="N50" s="13" t="s">
        <v>69</v>
      </c>
    </row>
    <row r="51" spans="1:14" x14ac:dyDescent="0.25">
      <c r="A51" s="1">
        <v>10</v>
      </c>
      <c r="B51" s="47">
        <v>45746</v>
      </c>
      <c r="C51" s="66">
        <v>43441367</v>
      </c>
      <c r="D51" s="66" t="s">
        <v>169</v>
      </c>
      <c r="E51" s="176">
        <v>52.3</v>
      </c>
      <c r="F51" s="5">
        <v>14.957000000000001</v>
      </c>
      <c r="G51" s="5">
        <v>15.765000000000001</v>
      </c>
      <c r="H51" s="5">
        <f>G51-F51</f>
        <v>0.80799999999999983</v>
      </c>
      <c r="I51" s="16">
        <f t="shared" si="1"/>
        <v>0.69471839999999985</v>
      </c>
      <c r="J51" s="16"/>
      <c r="K51" s="16">
        <f t="shared" si="3"/>
        <v>0.13274881183586376</v>
      </c>
      <c r="L51" s="16">
        <f t="shared" si="2"/>
        <v>0.82746721183586358</v>
      </c>
      <c r="N51" s="13" t="s">
        <v>69</v>
      </c>
    </row>
    <row r="52" spans="1:14" x14ac:dyDescent="0.25">
      <c r="A52" s="1">
        <v>11</v>
      </c>
      <c r="B52" s="47">
        <v>46262</v>
      </c>
      <c r="C52" s="66" t="s">
        <v>139</v>
      </c>
      <c r="D52" s="66" t="s">
        <v>54</v>
      </c>
      <c r="E52" s="176">
        <v>53</v>
      </c>
      <c r="F52" s="5">
        <v>0.33200000000000002</v>
      </c>
      <c r="G52" s="5">
        <v>0.80800000000000005</v>
      </c>
      <c r="H52" s="5"/>
      <c r="I52" s="16">
        <f>G52-F52</f>
        <v>0.47600000000000003</v>
      </c>
      <c r="J52" s="16"/>
      <c r="K52" s="16">
        <f t="shared" si="3"/>
        <v>0.13452556457554071</v>
      </c>
      <c r="L52" s="16">
        <f t="shared" si="2"/>
        <v>0.61052556457554075</v>
      </c>
      <c r="N52" s="13" t="s">
        <v>69</v>
      </c>
    </row>
    <row r="53" spans="1:14" x14ac:dyDescent="0.25">
      <c r="A53" s="1">
        <v>12</v>
      </c>
      <c r="B53" s="47">
        <v>45600</v>
      </c>
      <c r="C53" s="66">
        <v>43441365</v>
      </c>
      <c r="D53" s="66" t="s">
        <v>169</v>
      </c>
      <c r="E53" s="176">
        <v>100.2</v>
      </c>
      <c r="F53" s="5">
        <v>58.631</v>
      </c>
      <c r="G53" s="5">
        <v>60.402000000000001</v>
      </c>
      <c r="H53" s="5">
        <f>G53-F53</f>
        <v>1.7710000000000008</v>
      </c>
      <c r="I53" s="16">
        <f>H53*0.8598</f>
        <v>1.5227058000000007</v>
      </c>
      <c r="J53" s="16"/>
      <c r="K53" s="16">
        <f t="shared" si="3"/>
        <v>0.25432946359375813</v>
      </c>
      <c r="L53" s="16">
        <f t="shared" si="2"/>
        <v>1.7770352635937587</v>
      </c>
      <c r="N53" s="13" t="s">
        <v>69</v>
      </c>
    </row>
    <row r="54" spans="1:14" x14ac:dyDescent="0.25">
      <c r="A54" s="1">
        <v>13</v>
      </c>
      <c r="B54" s="33"/>
      <c r="C54" s="67">
        <v>43441377</v>
      </c>
      <c r="D54" s="66" t="s">
        <v>54</v>
      </c>
      <c r="E54" s="176">
        <v>112.4</v>
      </c>
      <c r="F54" s="5">
        <v>73.254999999999995</v>
      </c>
      <c r="G54" s="5">
        <v>74.814999999999998</v>
      </c>
      <c r="H54" s="5"/>
      <c r="I54" s="16">
        <f t="shared" si="1"/>
        <v>0</v>
      </c>
      <c r="J54" s="16">
        <f>(((E54*0.015)*12)/7)</f>
        <v>2.8902857142857141</v>
      </c>
      <c r="K54" s="16"/>
      <c r="L54" s="16">
        <f t="shared" si="2"/>
        <v>2.8902857142857141</v>
      </c>
      <c r="N54" s="13" t="s">
        <v>71</v>
      </c>
    </row>
    <row r="55" spans="1:14" x14ac:dyDescent="0.25">
      <c r="A55" s="1">
        <v>14</v>
      </c>
      <c r="B55" s="47">
        <v>46854</v>
      </c>
      <c r="C55" s="10" t="s">
        <v>140</v>
      </c>
      <c r="D55" s="66" t="s">
        <v>54</v>
      </c>
      <c r="E55" s="176">
        <v>63.8</v>
      </c>
      <c r="F55" s="39">
        <v>2.391</v>
      </c>
      <c r="G55" s="39">
        <v>4.0549999999999997</v>
      </c>
      <c r="H55" s="5"/>
      <c r="I55" s="16">
        <f>G55-F55</f>
        <v>1.6639999999999997</v>
      </c>
      <c r="J55" s="16"/>
      <c r="K55" s="16">
        <f t="shared" si="3"/>
        <v>0.16193832113055656</v>
      </c>
      <c r="L55" s="16">
        <f t="shared" si="2"/>
        <v>1.8259383211305562</v>
      </c>
      <c r="N55" s="13" t="s">
        <v>69</v>
      </c>
    </row>
    <row r="56" spans="1:14" x14ac:dyDescent="0.25">
      <c r="A56" s="1">
        <v>15</v>
      </c>
      <c r="B56" s="33"/>
      <c r="C56" s="66">
        <v>43441369</v>
      </c>
      <c r="D56" s="66" t="s">
        <v>54</v>
      </c>
      <c r="E56" s="176">
        <v>50.9</v>
      </c>
      <c r="F56" s="5">
        <v>40.601999999999997</v>
      </c>
      <c r="G56" s="5">
        <v>41.674999999999997</v>
      </c>
      <c r="H56" s="5"/>
      <c r="I56" s="16">
        <f t="shared" si="1"/>
        <v>0</v>
      </c>
      <c r="J56" s="16">
        <f>(((E56*0.015)*12)/7)</f>
        <v>1.3088571428571427</v>
      </c>
      <c r="K56" s="16"/>
      <c r="L56" s="16">
        <f t="shared" si="2"/>
        <v>1.3088571428571427</v>
      </c>
      <c r="N56" s="13" t="s">
        <v>71</v>
      </c>
    </row>
    <row r="57" spans="1:14" x14ac:dyDescent="0.25">
      <c r="A57" s="1">
        <v>16</v>
      </c>
      <c r="B57" s="47">
        <v>45900</v>
      </c>
      <c r="C57" s="66">
        <v>43441375</v>
      </c>
      <c r="D57" s="66" t="s">
        <v>169</v>
      </c>
      <c r="E57" s="176">
        <v>52.4</v>
      </c>
      <c r="F57" s="5">
        <v>28.28</v>
      </c>
      <c r="G57" s="5">
        <v>28.28</v>
      </c>
      <c r="H57" s="5">
        <f>G57-F57</f>
        <v>0</v>
      </c>
      <c r="I57" s="16">
        <f t="shared" si="1"/>
        <v>0</v>
      </c>
      <c r="J57" s="16"/>
      <c r="K57" s="16">
        <f t="shared" si="3"/>
        <v>0.13300263365581763</v>
      </c>
      <c r="L57" s="16">
        <f t="shared" si="2"/>
        <v>0.13300263365581763</v>
      </c>
      <c r="N57" s="13" t="s">
        <v>69</v>
      </c>
    </row>
    <row r="58" spans="1:14" x14ac:dyDescent="0.25">
      <c r="A58" s="1">
        <v>17</v>
      </c>
      <c r="B58" s="47">
        <v>45595</v>
      </c>
      <c r="C58" s="66">
        <v>43441376</v>
      </c>
      <c r="D58" s="66" t="s">
        <v>169</v>
      </c>
      <c r="E58" s="176">
        <v>53.3</v>
      </c>
      <c r="F58" s="5">
        <v>53.298000000000002</v>
      </c>
      <c r="G58" s="5">
        <v>54.384</v>
      </c>
      <c r="H58" s="5">
        <f>G58-F58</f>
        <v>1.0859999999999985</v>
      </c>
      <c r="I58" s="16">
        <f>H58*0.8598</f>
        <v>0.93374279999999876</v>
      </c>
      <c r="J58" s="16"/>
      <c r="K58" s="16">
        <f t="shared" si="3"/>
        <v>0.13528703003540227</v>
      </c>
      <c r="L58" s="16">
        <f t="shared" si="2"/>
        <v>1.0690298300354011</v>
      </c>
      <c r="N58" s="13" t="s">
        <v>69</v>
      </c>
    </row>
    <row r="59" spans="1:14" ht="15.75" customHeight="1" x14ac:dyDescent="0.25">
      <c r="A59" s="1">
        <v>18</v>
      </c>
      <c r="B59" s="47">
        <v>45700</v>
      </c>
      <c r="C59" s="66">
        <v>43441361</v>
      </c>
      <c r="D59" s="66" t="s">
        <v>169</v>
      </c>
      <c r="E59" s="176">
        <v>100.6</v>
      </c>
      <c r="F59" s="5">
        <v>5.0549999999999997</v>
      </c>
      <c r="G59" s="5">
        <v>5.1280000000000001</v>
      </c>
      <c r="H59" s="5">
        <f>G59-F59</f>
        <v>7.3000000000000398E-2</v>
      </c>
      <c r="I59" s="16">
        <f t="shared" si="1"/>
        <v>6.2765400000000346E-2</v>
      </c>
      <c r="J59" s="16"/>
      <c r="K59" s="16">
        <f t="shared" si="3"/>
        <v>0.2553447508735735</v>
      </c>
      <c r="L59" s="16">
        <f>I59+J59+K59</f>
        <v>0.31811015087357386</v>
      </c>
      <c r="N59" s="13" t="s">
        <v>69</v>
      </c>
    </row>
    <row r="60" spans="1:14" x14ac:dyDescent="0.25">
      <c r="A60" s="1">
        <v>19</v>
      </c>
      <c r="B60" s="47">
        <v>45767</v>
      </c>
      <c r="C60" s="66">
        <v>43441266</v>
      </c>
      <c r="D60" s="66" t="s">
        <v>169</v>
      </c>
      <c r="E60" s="176">
        <v>112.4</v>
      </c>
      <c r="F60" s="5">
        <v>47.838999999999999</v>
      </c>
      <c r="G60" s="5">
        <v>49.597999999999999</v>
      </c>
      <c r="H60" s="5">
        <f>G60-F60</f>
        <v>1.7590000000000003</v>
      </c>
      <c r="I60" s="16">
        <f t="shared" si="1"/>
        <v>1.5123882000000004</v>
      </c>
      <c r="J60" s="16"/>
      <c r="K60" s="16">
        <f t="shared" si="3"/>
        <v>0.28529572562812788</v>
      </c>
      <c r="L60" s="16">
        <f t="shared" ref="L60:L114" si="4">I60+J60+K60</f>
        <v>1.7976839256281283</v>
      </c>
      <c r="N60" s="13" t="s">
        <v>69</v>
      </c>
    </row>
    <row r="61" spans="1:14" x14ac:dyDescent="0.25">
      <c r="A61" s="1">
        <v>20</v>
      </c>
      <c r="B61" s="47">
        <v>45955</v>
      </c>
      <c r="C61" s="66" t="s">
        <v>107</v>
      </c>
      <c r="D61" s="66" t="s">
        <v>54</v>
      </c>
      <c r="E61" s="176">
        <v>63</v>
      </c>
      <c r="F61" s="39">
        <v>2.4860000000000002</v>
      </c>
      <c r="G61" s="39">
        <v>2.4860000000000002</v>
      </c>
      <c r="H61" s="5"/>
      <c r="I61" s="16">
        <f>G61-F61</f>
        <v>0</v>
      </c>
      <c r="J61" s="16"/>
      <c r="K61" s="16">
        <f t="shared" si="3"/>
        <v>0.15990774657092574</v>
      </c>
      <c r="L61" s="16">
        <f t="shared" si="4"/>
        <v>0.15990774657092574</v>
      </c>
      <c r="N61" s="13" t="s">
        <v>69</v>
      </c>
    </row>
    <row r="62" spans="1:14" x14ac:dyDescent="0.25">
      <c r="A62" s="1">
        <v>21</v>
      </c>
      <c r="B62" s="33"/>
      <c r="C62" s="66">
        <v>43441274</v>
      </c>
      <c r="D62" s="66" t="s">
        <v>54</v>
      </c>
      <c r="E62" s="176">
        <v>50.5</v>
      </c>
      <c r="F62" s="5">
        <v>38.033999999999999</v>
      </c>
      <c r="G62" s="5">
        <v>39.191000000000003</v>
      </c>
      <c r="H62" s="5"/>
      <c r="I62" s="16">
        <f t="shared" si="1"/>
        <v>0</v>
      </c>
      <c r="J62" s="16">
        <f>(((E62*0.015)*12)/7)</f>
        <v>1.2985714285714285</v>
      </c>
      <c r="K62" s="16"/>
      <c r="L62" s="16">
        <f t="shared" si="4"/>
        <v>1.2985714285714285</v>
      </c>
      <c r="N62" s="13" t="s">
        <v>71</v>
      </c>
    </row>
    <row r="63" spans="1:14" x14ac:dyDescent="0.25">
      <c r="A63" s="1">
        <v>22</v>
      </c>
      <c r="B63" s="48">
        <v>45734</v>
      </c>
      <c r="C63" s="66">
        <v>43441273</v>
      </c>
      <c r="D63" s="66" t="s">
        <v>169</v>
      </c>
      <c r="E63" s="176">
        <v>52.4</v>
      </c>
      <c r="F63" s="5">
        <v>35.200000000000003</v>
      </c>
      <c r="G63" s="5">
        <v>36.375999999999998</v>
      </c>
      <c r="H63" s="5">
        <f t="shared" ref="H63:H68" si="5">G63-F63</f>
        <v>1.1759999999999948</v>
      </c>
      <c r="I63" s="16">
        <f t="shared" si="1"/>
        <v>1.0111247999999955</v>
      </c>
      <c r="J63" s="16"/>
      <c r="K63" s="16">
        <f t="shared" si="3"/>
        <v>0.13300263365581763</v>
      </c>
      <c r="L63" s="16">
        <f t="shared" si="4"/>
        <v>1.1441274336558132</v>
      </c>
      <c r="N63" s="13" t="s">
        <v>69</v>
      </c>
    </row>
    <row r="64" spans="1:14" x14ac:dyDescent="0.25">
      <c r="A64" s="1">
        <v>23</v>
      </c>
      <c r="B64" s="47">
        <v>45774</v>
      </c>
      <c r="C64" s="66">
        <v>43441371</v>
      </c>
      <c r="D64" s="66" t="s">
        <v>169</v>
      </c>
      <c r="E64" s="176">
        <v>53.1</v>
      </c>
      <c r="F64" s="5">
        <v>12.499000000000001</v>
      </c>
      <c r="G64" s="5">
        <v>13.077999999999999</v>
      </c>
      <c r="H64" s="5">
        <f t="shared" si="5"/>
        <v>0.57899999999999885</v>
      </c>
      <c r="I64" s="16">
        <f t="shared" si="1"/>
        <v>0.497824199999999</v>
      </c>
      <c r="J64" s="16"/>
      <c r="K64" s="16">
        <f t="shared" si="3"/>
        <v>0.13477938639549458</v>
      </c>
      <c r="L64" s="16">
        <f t="shared" si="4"/>
        <v>0.63260358639549352</v>
      </c>
      <c r="N64" s="13" t="s">
        <v>69</v>
      </c>
    </row>
    <row r="65" spans="1:14" x14ac:dyDescent="0.25">
      <c r="A65" s="1">
        <v>24</v>
      </c>
      <c r="B65" s="47">
        <v>46156</v>
      </c>
      <c r="C65" s="66" t="s">
        <v>141</v>
      </c>
      <c r="D65" s="66" t="s">
        <v>54</v>
      </c>
      <c r="E65" s="176">
        <v>100.7</v>
      </c>
      <c r="F65" s="39">
        <v>1.349</v>
      </c>
      <c r="G65" s="39">
        <v>2.9449999999999998</v>
      </c>
      <c r="H65" s="5"/>
      <c r="I65" s="16">
        <f>G65-F65</f>
        <v>1.5959999999999999</v>
      </c>
      <c r="J65" s="16"/>
      <c r="K65" s="16">
        <f t="shared" si="3"/>
        <v>0.25559857269352737</v>
      </c>
      <c r="L65" s="16">
        <f t="shared" si="4"/>
        <v>1.8515985726935273</v>
      </c>
      <c r="N65" s="13" t="s">
        <v>69</v>
      </c>
    </row>
    <row r="66" spans="1:14" x14ac:dyDescent="0.25">
      <c r="A66" s="1">
        <v>25</v>
      </c>
      <c r="B66" s="33" t="s">
        <v>100</v>
      </c>
      <c r="C66" s="66">
        <v>43441275</v>
      </c>
      <c r="D66" s="66" t="s">
        <v>169</v>
      </c>
      <c r="E66" s="176">
        <v>112.5</v>
      </c>
      <c r="F66" s="5">
        <v>64.903000000000006</v>
      </c>
      <c r="G66" s="5">
        <v>66.382999999999996</v>
      </c>
      <c r="H66" s="5">
        <f t="shared" si="5"/>
        <v>1.4799999999999898</v>
      </c>
      <c r="I66" s="16">
        <f t="shared" si="1"/>
        <v>1.2725039999999912</v>
      </c>
      <c r="J66" s="16"/>
      <c r="K66" s="16">
        <f t="shared" si="3"/>
        <v>0.2855495474480817</v>
      </c>
      <c r="L66" s="16">
        <f t="shared" si="4"/>
        <v>1.5580535474480728</v>
      </c>
      <c r="N66" s="13" t="s">
        <v>69</v>
      </c>
    </row>
    <row r="67" spans="1:14" x14ac:dyDescent="0.25">
      <c r="A67" s="1">
        <v>26</v>
      </c>
      <c r="B67" s="47">
        <v>45803</v>
      </c>
      <c r="C67" s="66">
        <v>43441269</v>
      </c>
      <c r="D67" s="66" t="s">
        <v>169</v>
      </c>
      <c r="E67" s="176">
        <v>62.5</v>
      </c>
      <c r="F67" s="5">
        <f>15.614+0.2523</f>
        <v>15.866300000000001</v>
      </c>
      <c r="G67" s="5">
        <v>16.3</v>
      </c>
      <c r="H67" s="5">
        <f t="shared" si="5"/>
        <v>0.43369999999999997</v>
      </c>
      <c r="I67" s="16">
        <f t="shared" si="1"/>
        <v>0.37289526000000001</v>
      </c>
      <c r="J67" s="16"/>
      <c r="K67" s="16">
        <f t="shared" si="3"/>
        <v>0.1586386374711565</v>
      </c>
      <c r="L67" s="16">
        <f t="shared" si="4"/>
        <v>0.53153389747115654</v>
      </c>
      <c r="N67" s="13" t="s">
        <v>69</v>
      </c>
    </row>
    <row r="68" spans="1:14" x14ac:dyDescent="0.25">
      <c r="A68" s="1">
        <v>27</v>
      </c>
      <c r="B68" s="47">
        <v>45725</v>
      </c>
      <c r="C68" s="66">
        <v>43441270</v>
      </c>
      <c r="D68" s="66" t="s">
        <v>169</v>
      </c>
      <c r="E68" s="176">
        <v>51.2</v>
      </c>
      <c r="F68" s="5">
        <v>1.2849999999999999</v>
      </c>
      <c r="G68" s="5">
        <v>1.3129999999999999</v>
      </c>
      <c r="H68" s="5">
        <f t="shared" si="5"/>
        <v>2.8000000000000025E-2</v>
      </c>
      <c r="I68" s="16">
        <f>H68*0.8598</f>
        <v>2.407440000000002E-2</v>
      </c>
      <c r="J68" s="16"/>
      <c r="K68" s="16">
        <f t="shared" si="3"/>
        <v>0.12995677181637141</v>
      </c>
      <c r="L68" s="16">
        <f t="shared" si="4"/>
        <v>0.15403117181637144</v>
      </c>
      <c r="N68" s="13" t="s">
        <v>69</v>
      </c>
    </row>
    <row r="69" spans="1:14" x14ac:dyDescent="0.25">
      <c r="A69" s="1">
        <v>28</v>
      </c>
      <c r="B69" s="33"/>
      <c r="C69" s="66">
        <v>43441264</v>
      </c>
      <c r="D69" s="66" t="s">
        <v>54</v>
      </c>
      <c r="E69" s="176">
        <v>52.5</v>
      </c>
      <c r="F69" s="5">
        <v>25.231999999999999</v>
      </c>
      <c r="G69" s="5">
        <v>26.257000000000001</v>
      </c>
      <c r="H69" s="5"/>
      <c r="I69" s="16">
        <f t="shared" si="1"/>
        <v>0</v>
      </c>
      <c r="J69" s="16">
        <f>(((E69*0.015)*12)/7)</f>
        <v>1.3499999999999999</v>
      </c>
      <c r="K69" s="16"/>
      <c r="L69" s="16">
        <f t="shared" si="4"/>
        <v>1.3499999999999999</v>
      </c>
      <c r="N69" s="13" t="s">
        <v>71</v>
      </c>
    </row>
    <row r="70" spans="1:14" x14ac:dyDescent="0.25">
      <c r="A70" s="1">
        <v>29</v>
      </c>
      <c r="B70" s="47">
        <v>45718</v>
      </c>
      <c r="C70" s="66">
        <v>43441272</v>
      </c>
      <c r="D70" s="66" t="s">
        <v>169</v>
      </c>
      <c r="E70" s="176">
        <v>52.8</v>
      </c>
      <c r="F70" s="5">
        <v>23.343</v>
      </c>
      <c r="G70" s="5">
        <v>23.585000000000001</v>
      </c>
      <c r="H70" s="5">
        <f>G70-F70</f>
        <v>0.24200000000000088</v>
      </c>
      <c r="I70" s="16">
        <f t="shared" si="1"/>
        <v>0.20807160000000077</v>
      </c>
      <c r="J70" s="16"/>
      <c r="K70" s="16">
        <f t="shared" si="3"/>
        <v>0.134017920935633</v>
      </c>
      <c r="L70" s="16">
        <f t="shared" si="4"/>
        <v>0.34208952093563377</v>
      </c>
      <c r="N70" s="13" t="s">
        <v>69</v>
      </c>
    </row>
    <row r="71" spans="1:14" x14ac:dyDescent="0.25">
      <c r="A71" s="1">
        <v>30</v>
      </c>
      <c r="B71" s="48">
        <v>45734</v>
      </c>
      <c r="C71" s="66">
        <v>43441265</v>
      </c>
      <c r="D71" s="66" t="s">
        <v>169</v>
      </c>
      <c r="E71" s="176">
        <v>101.4</v>
      </c>
      <c r="F71" s="5">
        <v>37.110999999999997</v>
      </c>
      <c r="G71" s="5">
        <v>37.682000000000002</v>
      </c>
      <c r="H71" s="5">
        <f>G71-F71</f>
        <v>0.57100000000000506</v>
      </c>
      <c r="I71" s="16">
        <f t="shared" si="1"/>
        <v>0.49094580000000437</v>
      </c>
      <c r="J71" s="16"/>
      <c r="K71" s="16">
        <f t="shared" si="3"/>
        <v>0.25737532543320435</v>
      </c>
      <c r="L71" s="16">
        <f t="shared" si="4"/>
        <v>0.74832112543320872</v>
      </c>
      <c r="N71" s="13" t="s">
        <v>69</v>
      </c>
    </row>
    <row r="72" spans="1:14" x14ac:dyDescent="0.25">
      <c r="A72" s="1">
        <v>31</v>
      </c>
      <c r="B72" s="33"/>
      <c r="C72" s="66">
        <v>43441277</v>
      </c>
      <c r="D72" s="66" t="s">
        <v>54</v>
      </c>
      <c r="E72" s="176">
        <v>112.5</v>
      </c>
      <c r="F72" s="5">
        <v>85.581000000000003</v>
      </c>
      <c r="G72" s="5">
        <v>88.066999999999993</v>
      </c>
      <c r="H72" s="5"/>
      <c r="I72" s="16">
        <f t="shared" si="1"/>
        <v>0</v>
      </c>
      <c r="J72" s="16">
        <f>(((E72*0.015)*12)/7)</f>
        <v>2.8928571428571428</v>
      </c>
      <c r="K72" s="16"/>
      <c r="L72" s="16">
        <f t="shared" si="4"/>
        <v>2.8928571428571428</v>
      </c>
      <c r="N72" s="13" t="s">
        <v>71</v>
      </c>
    </row>
    <row r="73" spans="1:14" x14ac:dyDescent="0.25">
      <c r="A73" s="1">
        <v>32</v>
      </c>
      <c r="B73" s="47">
        <v>45923</v>
      </c>
      <c r="C73" s="66">
        <v>43441276</v>
      </c>
      <c r="D73" s="66" t="s">
        <v>169</v>
      </c>
      <c r="E73" s="176">
        <v>63.1</v>
      </c>
      <c r="F73" s="5">
        <v>52.252000000000002</v>
      </c>
      <c r="G73" s="5">
        <v>52.468000000000004</v>
      </c>
      <c r="H73" s="5">
        <f>G73-F73</f>
        <v>0.21600000000000108</v>
      </c>
      <c r="I73" s="16">
        <f t="shared" si="1"/>
        <v>0.18571680000000093</v>
      </c>
      <c r="J73" s="16"/>
      <c r="K73" s="16">
        <f t="shared" si="3"/>
        <v>0.16016156839087961</v>
      </c>
      <c r="L73" s="16">
        <f t="shared" si="4"/>
        <v>0.34587836839088054</v>
      </c>
      <c r="N73" s="13" t="s">
        <v>69</v>
      </c>
    </row>
    <row r="74" spans="1:14" x14ac:dyDescent="0.25">
      <c r="A74" s="1">
        <v>33</v>
      </c>
      <c r="B74" s="47">
        <v>45865</v>
      </c>
      <c r="C74" s="66">
        <v>43441279</v>
      </c>
      <c r="D74" s="66" t="s">
        <v>169</v>
      </c>
      <c r="E74" s="176">
        <v>50.9</v>
      </c>
      <c r="F74" s="5">
        <v>50.095999999999997</v>
      </c>
      <c r="G74" s="5">
        <v>51.604999999999997</v>
      </c>
      <c r="H74" s="5">
        <f>G74-F74</f>
        <v>1.5090000000000003</v>
      </c>
      <c r="I74" s="16">
        <f t="shared" si="1"/>
        <v>1.2974382000000002</v>
      </c>
      <c r="J74" s="16"/>
      <c r="K74" s="16">
        <f t="shared" si="3"/>
        <v>0.12919530635650986</v>
      </c>
      <c r="L74" s="16">
        <f t="shared" si="4"/>
        <v>1.4266335063565101</v>
      </c>
      <c r="N74" s="13" t="s">
        <v>69</v>
      </c>
    </row>
    <row r="75" spans="1:14" x14ac:dyDescent="0.25">
      <c r="A75" s="1">
        <v>34</v>
      </c>
      <c r="B75" s="47">
        <v>46279</v>
      </c>
      <c r="C75" s="66">
        <v>43441281</v>
      </c>
      <c r="D75" s="66" t="s">
        <v>169</v>
      </c>
      <c r="E75" s="176">
        <v>52.2</v>
      </c>
      <c r="F75" s="5">
        <v>39.488999999999997</v>
      </c>
      <c r="G75" s="5">
        <v>39.488999999999997</v>
      </c>
      <c r="H75" s="5">
        <f>G75-F75</f>
        <v>0</v>
      </c>
      <c r="I75" s="16">
        <f t="shared" si="1"/>
        <v>0</v>
      </c>
      <c r="J75" s="16"/>
      <c r="K75" s="16">
        <f t="shared" si="3"/>
        <v>0.13249499001590992</v>
      </c>
      <c r="L75" s="16">
        <f t="shared" si="4"/>
        <v>0.13249499001590992</v>
      </c>
      <c r="N75" s="13" t="s">
        <v>69</v>
      </c>
    </row>
    <row r="76" spans="1:14" x14ac:dyDescent="0.25">
      <c r="A76" s="1">
        <v>35</v>
      </c>
      <c r="B76" s="47">
        <v>46249</v>
      </c>
      <c r="C76" s="66">
        <v>43441282</v>
      </c>
      <c r="D76" s="66" t="s">
        <v>169</v>
      </c>
      <c r="E76" s="176">
        <v>53</v>
      </c>
      <c r="F76" s="5">
        <v>43.771999999999998</v>
      </c>
      <c r="G76" s="5">
        <v>44.731999999999999</v>
      </c>
      <c r="H76" s="5">
        <f>G76-F76</f>
        <v>0.96000000000000085</v>
      </c>
      <c r="I76" s="16">
        <f t="shared" si="1"/>
        <v>0.8254080000000007</v>
      </c>
      <c r="J76" s="16"/>
      <c r="K76" s="16">
        <f t="shared" si="3"/>
        <v>0.13452556457554071</v>
      </c>
      <c r="L76" s="16">
        <f t="shared" si="4"/>
        <v>0.95993356457554135</v>
      </c>
      <c r="N76" s="13" t="s">
        <v>69</v>
      </c>
    </row>
    <row r="77" spans="1:14" x14ac:dyDescent="0.25">
      <c r="A77" s="1">
        <v>36</v>
      </c>
      <c r="B77" s="33"/>
      <c r="C77" s="66">
        <v>43441280</v>
      </c>
      <c r="D77" s="66" t="s">
        <v>54</v>
      </c>
      <c r="E77" s="176">
        <v>103.1</v>
      </c>
      <c r="F77" s="5">
        <v>73.924000000000007</v>
      </c>
      <c r="G77" s="5">
        <v>76.257999999999996</v>
      </c>
      <c r="H77" s="5"/>
      <c r="I77" s="16">
        <f t="shared" si="1"/>
        <v>0</v>
      </c>
      <c r="J77" s="16">
        <f>(((E77*0.015)*12)/7)</f>
        <v>2.6511428571428568</v>
      </c>
      <c r="K77" s="16"/>
      <c r="L77" s="16">
        <f t="shared" si="4"/>
        <v>2.6511428571428568</v>
      </c>
      <c r="N77" s="13" t="s">
        <v>71</v>
      </c>
    </row>
    <row r="78" spans="1:14" x14ac:dyDescent="0.25">
      <c r="A78" s="1">
        <v>37</v>
      </c>
      <c r="B78" s="47">
        <v>46651</v>
      </c>
      <c r="C78" s="10" t="s">
        <v>101</v>
      </c>
      <c r="D78" s="66" t="s">
        <v>54</v>
      </c>
      <c r="E78" s="176">
        <v>112.4</v>
      </c>
      <c r="F78" s="39">
        <v>10.518000000000001</v>
      </c>
      <c r="G78" s="39">
        <v>11.176</v>
      </c>
      <c r="H78" s="5"/>
      <c r="I78" s="16">
        <f>G78-F78</f>
        <v>0.65799999999999947</v>
      </c>
      <c r="J78" s="16"/>
      <c r="K78" s="16">
        <f t="shared" si="3"/>
        <v>0.28529572562812788</v>
      </c>
      <c r="L78" s="16">
        <f t="shared" si="4"/>
        <v>0.94329572562812736</v>
      </c>
      <c r="N78" s="13" t="s">
        <v>69</v>
      </c>
    </row>
    <row r="79" spans="1:14" x14ac:dyDescent="0.25">
      <c r="A79" s="1">
        <v>38</v>
      </c>
      <c r="B79" s="47">
        <v>45946</v>
      </c>
      <c r="C79" s="66">
        <v>43441344</v>
      </c>
      <c r="D79" s="66" t="s">
        <v>169</v>
      </c>
      <c r="E79" s="176">
        <v>62.8</v>
      </c>
      <c r="F79" s="5">
        <v>35.683999999999997</v>
      </c>
      <c r="G79" s="5">
        <v>37.503999999999998</v>
      </c>
      <c r="H79" s="5">
        <f>G79-F79</f>
        <v>1.8200000000000003</v>
      </c>
      <c r="I79" s="16">
        <f t="shared" si="1"/>
        <v>1.5648360000000003</v>
      </c>
      <c r="J79" s="16"/>
      <c r="K79" s="16">
        <f t="shared" si="3"/>
        <v>0.15940010293101806</v>
      </c>
      <c r="L79" s="16">
        <f t="shared" si="4"/>
        <v>1.7242361029310185</v>
      </c>
      <c r="N79" s="13" t="s">
        <v>69</v>
      </c>
    </row>
    <row r="80" spans="1:14" x14ac:dyDescent="0.25">
      <c r="A80" s="1">
        <v>39</v>
      </c>
      <c r="B80" s="33"/>
      <c r="C80" s="66">
        <v>43441341</v>
      </c>
      <c r="D80" s="66" t="s">
        <v>54</v>
      </c>
      <c r="E80" s="176">
        <v>50.5</v>
      </c>
      <c r="F80" s="5">
        <v>11.265000000000001</v>
      </c>
      <c r="G80" s="5">
        <v>11.846</v>
      </c>
      <c r="H80" s="5"/>
      <c r="I80" s="16">
        <f t="shared" si="1"/>
        <v>0</v>
      </c>
      <c r="J80" s="16">
        <f>(((E80*0.015)*12)/7)</f>
        <v>1.2985714285714285</v>
      </c>
      <c r="K80" s="16"/>
      <c r="L80" s="16">
        <f t="shared" si="4"/>
        <v>1.2985714285714285</v>
      </c>
      <c r="N80" s="13" t="s">
        <v>71</v>
      </c>
    </row>
    <row r="81" spans="1:14" x14ac:dyDescent="0.25">
      <c r="A81" s="1">
        <v>40</v>
      </c>
      <c r="B81" s="47">
        <v>45594</v>
      </c>
      <c r="C81" s="10" t="s">
        <v>72</v>
      </c>
      <c r="D81" s="66" t="s">
        <v>54</v>
      </c>
      <c r="E81" s="176">
        <v>52.3</v>
      </c>
      <c r="F81" s="39">
        <v>1.8260000000000001</v>
      </c>
      <c r="G81" s="39">
        <v>1.9630000000000001</v>
      </c>
      <c r="H81" s="39"/>
      <c r="I81" s="16">
        <f>G81-F81</f>
        <v>0.13700000000000001</v>
      </c>
      <c r="J81" s="16"/>
      <c r="K81" s="16">
        <f t="shared" si="3"/>
        <v>0.13274881183586376</v>
      </c>
      <c r="L81" s="16">
        <f t="shared" si="4"/>
        <v>0.26974881183586374</v>
      </c>
      <c r="N81" s="13" t="s">
        <v>69</v>
      </c>
    </row>
    <row r="82" spans="1:14" x14ac:dyDescent="0.25">
      <c r="A82" s="1">
        <v>41</v>
      </c>
      <c r="B82" s="47">
        <v>45573</v>
      </c>
      <c r="C82" s="66">
        <v>43441283</v>
      </c>
      <c r="D82" s="66" t="s">
        <v>169</v>
      </c>
      <c r="E82" s="176">
        <v>53</v>
      </c>
      <c r="F82" s="5">
        <v>15.95</v>
      </c>
      <c r="G82" s="5">
        <v>16.25</v>
      </c>
      <c r="H82" s="5">
        <f>G82-F82</f>
        <v>0.30000000000000071</v>
      </c>
      <c r="I82" s="16">
        <f t="shared" si="1"/>
        <v>0.25794000000000061</v>
      </c>
      <c r="J82" s="16"/>
      <c r="K82" s="16">
        <f t="shared" si="3"/>
        <v>0.13452556457554071</v>
      </c>
      <c r="L82" s="16">
        <f t="shared" si="4"/>
        <v>0.39246556457554133</v>
      </c>
      <c r="N82" s="13" t="s">
        <v>69</v>
      </c>
    </row>
    <row r="83" spans="1:14" x14ac:dyDescent="0.25">
      <c r="A83" s="1">
        <v>42</v>
      </c>
      <c r="B83" s="47">
        <v>45459</v>
      </c>
      <c r="C83" s="10" t="s">
        <v>57</v>
      </c>
      <c r="D83" s="66" t="s">
        <v>54</v>
      </c>
      <c r="E83" s="176">
        <v>100.1</v>
      </c>
      <c r="F83" s="39">
        <v>14.566000000000001</v>
      </c>
      <c r="G83" s="39">
        <v>15.371</v>
      </c>
      <c r="H83" s="39"/>
      <c r="I83" s="16">
        <f>G83-F83</f>
        <v>0.80499999999999972</v>
      </c>
      <c r="J83" s="16"/>
      <c r="K83" s="16">
        <f t="shared" si="3"/>
        <v>0.25407564177380426</v>
      </c>
      <c r="L83" s="16">
        <f t="shared" si="4"/>
        <v>1.0590756417738039</v>
      </c>
      <c r="N83" s="13" t="s">
        <v>69</v>
      </c>
    </row>
    <row r="84" spans="1:14" x14ac:dyDescent="0.25">
      <c r="A84" s="1">
        <v>43</v>
      </c>
      <c r="B84" s="48">
        <v>45866</v>
      </c>
      <c r="C84" s="66">
        <v>43441342</v>
      </c>
      <c r="D84" s="66" t="s">
        <v>169</v>
      </c>
      <c r="E84" s="176">
        <v>69.3</v>
      </c>
      <c r="F84" s="5">
        <v>8.3390000000000004</v>
      </c>
      <c r="G84" s="5">
        <v>8.3390000000000004</v>
      </c>
      <c r="H84" s="5">
        <f>G84-F84</f>
        <v>0</v>
      </c>
      <c r="I84" s="16">
        <f t="shared" si="1"/>
        <v>0</v>
      </c>
      <c r="J84" s="16"/>
      <c r="K84" s="16">
        <f t="shared" si="3"/>
        <v>0.17589852122801833</v>
      </c>
      <c r="L84" s="16">
        <f t="shared" si="4"/>
        <v>0.17589852122801833</v>
      </c>
      <c r="N84" s="13" t="s">
        <v>69</v>
      </c>
    </row>
    <row r="85" spans="1:14" x14ac:dyDescent="0.25">
      <c r="A85" s="1">
        <v>44</v>
      </c>
      <c r="B85" s="47">
        <v>45747</v>
      </c>
      <c r="C85" s="66">
        <v>43441345</v>
      </c>
      <c r="D85" s="66" t="s">
        <v>169</v>
      </c>
      <c r="E85" s="176">
        <v>53.3</v>
      </c>
      <c r="F85" s="5">
        <v>18.757999999999999</v>
      </c>
      <c r="G85" s="5">
        <v>18.797999999999998</v>
      </c>
      <c r="H85" s="5">
        <f>G85-F85</f>
        <v>3.9999999999999147E-2</v>
      </c>
      <c r="I85" s="16">
        <f t="shared" si="1"/>
        <v>3.439199999999927E-2</v>
      </c>
      <c r="J85" s="16"/>
      <c r="K85" s="16">
        <f t="shared" si="3"/>
        <v>0.13528703003540227</v>
      </c>
      <c r="L85" s="16">
        <f t="shared" si="4"/>
        <v>0.16967903003540152</v>
      </c>
      <c r="N85" s="13" t="s">
        <v>69</v>
      </c>
    </row>
    <row r="86" spans="1:14" x14ac:dyDescent="0.25">
      <c r="A86" s="1">
        <v>45</v>
      </c>
      <c r="B86" s="33"/>
      <c r="C86" s="66">
        <v>43441348</v>
      </c>
      <c r="D86" s="66" t="s">
        <v>54</v>
      </c>
      <c r="E86" s="176">
        <v>52.9</v>
      </c>
      <c r="F86" s="5">
        <v>62.328000000000003</v>
      </c>
      <c r="G86" s="5">
        <v>63.78</v>
      </c>
      <c r="H86" s="5"/>
      <c r="I86" s="16">
        <f t="shared" si="1"/>
        <v>0</v>
      </c>
      <c r="J86" s="16">
        <f>(((E86*0.015)*12)/7)</f>
        <v>1.3602857142857143</v>
      </c>
      <c r="K86" s="16"/>
      <c r="L86" s="16">
        <f t="shared" si="4"/>
        <v>1.3602857142857143</v>
      </c>
      <c r="N86" s="13" t="s">
        <v>71</v>
      </c>
    </row>
    <row r="87" spans="1:14" x14ac:dyDescent="0.25">
      <c r="A87" s="1">
        <v>46</v>
      </c>
      <c r="B87" s="52">
        <v>45866</v>
      </c>
      <c r="C87" s="66">
        <v>43441349</v>
      </c>
      <c r="D87" s="66" t="s">
        <v>169</v>
      </c>
      <c r="E87" s="176">
        <v>100.9</v>
      </c>
      <c r="F87" s="5">
        <v>25.152000000000001</v>
      </c>
      <c r="G87" s="5">
        <v>25.196999999999999</v>
      </c>
      <c r="H87" s="5">
        <f>G87-F87</f>
        <v>4.4999999999998153E-2</v>
      </c>
      <c r="I87" s="16">
        <f t="shared" si="1"/>
        <v>3.8690999999998414E-2</v>
      </c>
      <c r="J87" s="16"/>
      <c r="K87" s="16">
        <f t="shared" si="3"/>
        <v>0.25610621633343511</v>
      </c>
      <c r="L87" s="16">
        <f t="shared" si="4"/>
        <v>0.29479721633343353</v>
      </c>
      <c r="N87" s="13" t="s">
        <v>69</v>
      </c>
    </row>
    <row r="88" spans="1:14" x14ac:dyDescent="0.25">
      <c r="A88" s="1">
        <v>47</v>
      </c>
      <c r="B88" s="47">
        <v>45459</v>
      </c>
      <c r="C88" s="66" t="s">
        <v>108</v>
      </c>
      <c r="D88" s="66" t="s">
        <v>54</v>
      </c>
      <c r="E88" s="176">
        <v>85.4</v>
      </c>
      <c r="F88" s="39">
        <f>3.3185+0.3447</f>
        <v>3.6631999999999998</v>
      </c>
      <c r="G88" s="39">
        <v>6.3613999999999997</v>
      </c>
      <c r="H88" s="5"/>
      <c r="I88" s="16">
        <f>G88-F88</f>
        <v>2.6981999999999999</v>
      </c>
      <c r="J88" s="16"/>
      <c r="K88" s="16">
        <f t="shared" si="3"/>
        <v>0.21676383424058826</v>
      </c>
      <c r="L88" s="16">
        <f t="shared" si="4"/>
        <v>2.9149638342405884</v>
      </c>
      <c r="N88" s="13" t="s">
        <v>69</v>
      </c>
    </row>
    <row r="89" spans="1:14" x14ac:dyDescent="0.25">
      <c r="A89" s="1">
        <v>48</v>
      </c>
      <c r="B89" s="48">
        <v>45769</v>
      </c>
      <c r="C89" s="66">
        <v>43441356</v>
      </c>
      <c r="D89" s="66" t="s">
        <v>169</v>
      </c>
      <c r="E89" s="176">
        <v>53.2</v>
      </c>
      <c r="F89" s="5">
        <v>47.649000000000001</v>
      </c>
      <c r="G89" s="5">
        <v>48.905000000000001</v>
      </c>
      <c r="H89" s="5">
        <f>G89-F89</f>
        <v>1.2560000000000002</v>
      </c>
      <c r="I89" s="16">
        <f>H89*0.8598</f>
        <v>1.0799088000000001</v>
      </c>
      <c r="J89" s="16"/>
      <c r="K89" s="16">
        <f t="shared" si="3"/>
        <v>0.13503320821544842</v>
      </c>
      <c r="L89" s="16">
        <f t="shared" si="4"/>
        <v>1.2149420082154485</v>
      </c>
      <c r="N89" s="13" t="s">
        <v>69</v>
      </c>
    </row>
    <row r="90" spans="1:14" x14ac:dyDescent="0.25">
      <c r="A90" s="1">
        <v>49</v>
      </c>
      <c r="B90" s="47">
        <v>45607</v>
      </c>
      <c r="C90" s="66">
        <v>43441343</v>
      </c>
      <c r="D90" s="66" t="s">
        <v>169</v>
      </c>
      <c r="E90" s="176">
        <v>53.3</v>
      </c>
      <c r="F90" s="5">
        <v>19.109000000000002</v>
      </c>
      <c r="G90" s="5">
        <v>20.402999999999999</v>
      </c>
      <c r="H90" s="5">
        <f>G90-F90</f>
        <v>1.2939999999999969</v>
      </c>
      <c r="I90" s="16">
        <f t="shared" si="1"/>
        <v>1.1125811999999973</v>
      </c>
      <c r="J90" s="16"/>
      <c r="K90" s="16">
        <f t="shared" si="3"/>
        <v>0.13528703003540227</v>
      </c>
      <c r="L90" s="16">
        <f t="shared" si="4"/>
        <v>1.2478682300353996</v>
      </c>
      <c r="M90" s="24"/>
      <c r="N90" s="13" t="s">
        <v>69</v>
      </c>
    </row>
    <row r="91" spans="1:14" x14ac:dyDescent="0.25">
      <c r="A91" s="1">
        <v>50</v>
      </c>
      <c r="B91" s="52">
        <v>45846</v>
      </c>
      <c r="C91" s="66">
        <v>43441352</v>
      </c>
      <c r="D91" s="66" t="s">
        <v>169</v>
      </c>
      <c r="E91" s="176">
        <v>99.5</v>
      </c>
      <c r="F91" s="5">
        <v>85.399000000000001</v>
      </c>
      <c r="G91" s="5">
        <v>88.382000000000005</v>
      </c>
      <c r="H91" s="5">
        <f>G91-F91</f>
        <v>2.9830000000000041</v>
      </c>
      <c r="I91" s="16">
        <f>H91*0.8598</f>
        <v>2.5647834000000036</v>
      </c>
      <c r="J91" s="16"/>
      <c r="K91" s="16">
        <f t="shared" si="3"/>
        <v>0.25255271085408115</v>
      </c>
      <c r="L91" s="16">
        <f t="shared" si="4"/>
        <v>2.8173361108540846</v>
      </c>
      <c r="M91" s="24"/>
      <c r="N91" s="13" t="s">
        <v>69</v>
      </c>
    </row>
    <row r="92" spans="1:14" x14ac:dyDescent="0.25">
      <c r="A92" s="1">
        <v>51</v>
      </c>
      <c r="B92" s="38"/>
      <c r="C92" s="66">
        <v>43441357</v>
      </c>
      <c r="D92" s="66" t="s">
        <v>54</v>
      </c>
      <c r="E92" s="176">
        <v>84.8</v>
      </c>
      <c r="F92" s="5">
        <v>90.488</v>
      </c>
      <c r="G92" s="5">
        <v>90.488</v>
      </c>
      <c r="H92" s="5"/>
      <c r="I92" s="16">
        <f t="shared" si="1"/>
        <v>0</v>
      </c>
      <c r="J92" s="16">
        <f t="shared" ref="J92:J93" si="6">(((E92*0.015)*12)/7)</f>
        <v>2.1805714285714286</v>
      </c>
      <c r="K92" s="16"/>
      <c r="L92" s="16">
        <f t="shared" si="4"/>
        <v>2.1805714285714286</v>
      </c>
      <c r="M92" s="24"/>
      <c r="N92" s="13" t="s">
        <v>71</v>
      </c>
    </row>
    <row r="93" spans="1:14" x14ac:dyDescent="0.25">
      <c r="A93" s="1">
        <v>52</v>
      </c>
      <c r="B93" s="38"/>
      <c r="C93" s="66">
        <v>43441355</v>
      </c>
      <c r="D93" s="66" t="s">
        <v>54</v>
      </c>
      <c r="E93" s="176">
        <v>52.9</v>
      </c>
      <c r="F93" s="5">
        <v>49.418999999999997</v>
      </c>
      <c r="G93" s="5">
        <v>50.348999999999997</v>
      </c>
      <c r="H93" s="5"/>
      <c r="I93" s="16">
        <f>H93*0.8598</f>
        <v>0</v>
      </c>
      <c r="J93" s="16">
        <f t="shared" si="6"/>
        <v>1.3602857142857143</v>
      </c>
      <c r="K93" s="16"/>
      <c r="L93" s="16">
        <f t="shared" si="4"/>
        <v>1.3602857142857143</v>
      </c>
      <c r="M93" s="24"/>
      <c r="N93" s="13" t="s">
        <v>71</v>
      </c>
    </row>
    <row r="94" spans="1:14" x14ac:dyDescent="0.25">
      <c r="A94" s="1">
        <v>53</v>
      </c>
      <c r="B94" s="48">
        <v>45635</v>
      </c>
      <c r="C94" s="66">
        <v>43441358</v>
      </c>
      <c r="D94" s="66" t="s">
        <v>169</v>
      </c>
      <c r="E94" s="176">
        <v>52.8</v>
      </c>
      <c r="F94" s="5">
        <v>18.631</v>
      </c>
      <c r="G94" s="5">
        <v>18.683</v>
      </c>
      <c r="H94" s="5">
        <f>G94-F94</f>
        <v>5.1999999999999602E-2</v>
      </c>
      <c r="I94" s="16">
        <f t="shared" si="1"/>
        <v>4.4709599999999655E-2</v>
      </c>
      <c r="J94" s="16"/>
      <c r="K94" s="16">
        <f t="shared" si="3"/>
        <v>0.134017920935633</v>
      </c>
      <c r="L94" s="16">
        <f t="shared" si="4"/>
        <v>0.17872752093563266</v>
      </c>
      <c r="M94" s="24"/>
      <c r="N94" s="13" t="s">
        <v>69</v>
      </c>
    </row>
    <row r="95" spans="1:14" x14ac:dyDescent="0.25">
      <c r="A95" s="1">
        <v>54</v>
      </c>
      <c r="B95" s="47">
        <v>45725</v>
      </c>
      <c r="C95" s="10" t="s">
        <v>102</v>
      </c>
      <c r="D95" s="66" t="s">
        <v>54</v>
      </c>
      <c r="E95" s="89">
        <v>101</v>
      </c>
      <c r="F95" s="39">
        <v>4.7869999999999999</v>
      </c>
      <c r="G95" s="39">
        <v>4.9669999999999996</v>
      </c>
      <c r="H95" s="5"/>
      <c r="I95" s="16">
        <f>G95-F95</f>
        <v>0.17999999999999972</v>
      </c>
      <c r="J95" s="16"/>
      <c r="K95" s="16">
        <f t="shared" si="3"/>
        <v>0.25636003815338892</v>
      </c>
      <c r="L95" s="16">
        <f t="shared" si="4"/>
        <v>0.43636003815338864</v>
      </c>
      <c r="M95" s="24"/>
      <c r="N95" s="13" t="s">
        <v>69</v>
      </c>
    </row>
    <row r="96" spans="1:14" x14ac:dyDescent="0.25">
      <c r="A96" s="1">
        <v>55</v>
      </c>
      <c r="B96" s="33"/>
      <c r="C96" s="66">
        <v>43441053</v>
      </c>
      <c r="D96" s="66" t="s">
        <v>54</v>
      </c>
      <c r="E96" s="176">
        <v>85.2</v>
      </c>
      <c r="F96" s="5">
        <v>45.667999999999999</v>
      </c>
      <c r="G96" s="5">
        <v>45.667999999999999</v>
      </c>
      <c r="H96" s="5"/>
      <c r="I96" s="16">
        <f t="shared" si="1"/>
        <v>0</v>
      </c>
      <c r="J96" s="16">
        <f>(((E96*0.015)*12)/7)</f>
        <v>2.1908571428571428</v>
      </c>
      <c r="K96" s="16"/>
      <c r="L96" s="16">
        <f>I96+J96+K96</f>
        <v>2.1908571428571428</v>
      </c>
      <c r="M96" s="24"/>
      <c r="N96" s="13" t="s">
        <v>71</v>
      </c>
    </row>
    <row r="97" spans="1:14" x14ac:dyDescent="0.25">
      <c r="A97" s="1">
        <v>56</v>
      </c>
      <c r="B97" s="47">
        <v>46042</v>
      </c>
      <c r="C97" s="66">
        <v>43441050</v>
      </c>
      <c r="D97" s="66" t="s">
        <v>169</v>
      </c>
      <c r="E97" s="176">
        <v>52.5</v>
      </c>
      <c r="F97" s="5">
        <v>31.155000000000001</v>
      </c>
      <c r="G97" s="5">
        <v>32.113</v>
      </c>
      <c r="H97" s="5">
        <f>G97-F97</f>
        <v>0.95799999999999841</v>
      </c>
      <c r="I97" s="16">
        <f t="shared" si="1"/>
        <v>0.82368839999999865</v>
      </c>
      <c r="J97" s="16"/>
      <c r="K97" s="16">
        <f t="shared" si="3"/>
        <v>0.13325645547577147</v>
      </c>
      <c r="L97" s="16">
        <f t="shared" si="4"/>
        <v>0.95694485547577013</v>
      </c>
      <c r="M97" s="24"/>
      <c r="N97" s="13" t="s">
        <v>69</v>
      </c>
    </row>
    <row r="98" spans="1:14" x14ac:dyDescent="0.25">
      <c r="A98" s="1">
        <v>57</v>
      </c>
      <c r="B98" s="33"/>
      <c r="C98" s="66">
        <v>43441051</v>
      </c>
      <c r="D98" s="66" t="s">
        <v>54</v>
      </c>
      <c r="E98" s="176">
        <v>52.4</v>
      </c>
      <c r="F98" s="5">
        <v>39.789000000000001</v>
      </c>
      <c r="G98" s="5">
        <v>40.625</v>
      </c>
      <c r="H98" s="5"/>
      <c r="I98" s="16">
        <f t="shared" si="1"/>
        <v>0</v>
      </c>
      <c r="J98" s="16">
        <f>(((E98*0.015)*12)/7)</f>
        <v>1.3474285714285712</v>
      </c>
      <c r="K98" s="16"/>
      <c r="L98" s="16">
        <f t="shared" si="4"/>
        <v>1.3474285714285712</v>
      </c>
      <c r="M98" s="24"/>
      <c r="N98" s="13" t="s">
        <v>71</v>
      </c>
    </row>
    <row r="99" spans="1:14" x14ac:dyDescent="0.25">
      <c r="A99" s="1">
        <v>58</v>
      </c>
      <c r="B99" s="47">
        <v>46262</v>
      </c>
      <c r="C99" s="66" t="s">
        <v>142</v>
      </c>
      <c r="D99" s="66" t="s">
        <v>54</v>
      </c>
      <c r="E99" s="176">
        <v>101.3</v>
      </c>
      <c r="F99" s="5">
        <v>1.048</v>
      </c>
      <c r="G99" s="5">
        <v>2.0870000000000002</v>
      </c>
      <c r="H99" s="5"/>
      <c r="I99" s="16">
        <f>G99-F99</f>
        <v>1.0390000000000001</v>
      </c>
      <c r="J99" s="16"/>
      <c r="K99" s="16">
        <f t="shared" si="3"/>
        <v>0.25712150361325042</v>
      </c>
      <c r="L99" s="16">
        <f t="shared" si="4"/>
        <v>1.2961215036132505</v>
      </c>
      <c r="M99" s="24"/>
      <c r="N99" s="13" t="s">
        <v>69</v>
      </c>
    </row>
    <row r="100" spans="1:14" x14ac:dyDescent="0.25">
      <c r="A100" s="1">
        <v>59</v>
      </c>
      <c r="B100" s="47">
        <v>45754</v>
      </c>
      <c r="C100" s="66">
        <v>43441057</v>
      </c>
      <c r="D100" s="66" t="s">
        <v>169</v>
      </c>
      <c r="E100" s="176">
        <v>85.3</v>
      </c>
      <c r="F100" s="5">
        <v>25.489000000000001</v>
      </c>
      <c r="G100" s="5">
        <v>26.795000000000002</v>
      </c>
      <c r="H100" s="5">
        <f t="shared" ref="H100:H105" si="7">G100-F100</f>
        <v>1.3060000000000009</v>
      </c>
      <c r="I100" s="16">
        <f t="shared" si="1"/>
        <v>1.1228988000000009</v>
      </c>
      <c r="J100" s="16"/>
      <c r="K100" s="16">
        <f t="shared" si="3"/>
        <v>0.21651001242063442</v>
      </c>
      <c r="L100" s="16">
        <f>I100+J100+K100</f>
        <v>1.3394088124206354</v>
      </c>
      <c r="M100" s="24"/>
      <c r="N100" s="13" t="s">
        <v>69</v>
      </c>
    </row>
    <row r="101" spans="1:14" x14ac:dyDescent="0.25">
      <c r="A101" s="1">
        <v>60</v>
      </c>
      <c r="B101" s="47">
        <v>45703</v>
      </c>
      <c r="C101" s="66">
        <v>43441058</v>
      </c>
      <c r="D101" s="66" t="s">
        <v>169</v>
      </c>
      <c r="E101" s="176">
        <v>52.5</v>
      </c>
      <c r="F101" s="5">
        <v>12.089</v>
      </c>
      <c r="G101" s="5">
        <v>13.041</v>
      </c>
      <c r="H101" s="5">
        <f t="shared" si="7"/>
        <v>0.95199999999999996</v>
      </c>
      <c r="I101" s="16">
        <f>H101*0.8598</f>
        <v>0.81852959999999997</v>
      </c>
      <c r="J101" s="16"/>
      <c r="K101" s="16">
        <f t="shared" si="3"/>
        <v>0.13325645547577147</v>
      </c>
      <c r="L101" s="16">
        <f t="shared" si="4"/>
        <v>0.95178605547577144</v>
      </c>
      <c r="N101" s="13" t="s">
        <v>69</v>
      </c>
    </row>
    <row r="102" spans="1:14" x14ac:dyDescent="0.25">
      <c r="A102" s="1">
        <v>61</v>
      </c>
      <c r="B102" s="48">
        <v>45517</v>
      </c>
      <c r="C102" s="66">
        <v>43441054</v>
      </c>
      <c r="D102" s="66" t="s">
        <v>169</v>
      </c>
      <c r="E102" s="176">
        <v>52.3</v>
      </c>
      <c r="F102" s="5">
        <v>20.687999999999999</v>
      </c>
      <c r="G102" s="5">
        <v>21.536999999999999</v>
      </c>
      <c r="H102" s="5">
        <f t="shared" si="7"/>
        <v>0.8490000000000002</v>
      </c>
      <c r="I102" s="16">
        <f t="shared" si="1"/>
        <v>0.72997020000000012</v>
      </c>
      <c r="J102" s="16"/>
      <c r="K102" s="16">
        <f t="shared" si="3"/>
        <v>0.13274881183586376</v>
      </c>
      <c r="L102" s="16">
        <f t="shared" si="4"/>
        <v>0.86271901183586386</v>
      </c>
      <c r="N102" s="13" t="s">
        <v>69</v>
      </c>
    </row>
    <row r="103" spans="1:14" x14ac:dyDescent="0.25">
      <c r="A103" s="1">
        <v>62</v>
      </c>
      <c r="B103" s="47">
        <v>45907</v>
      </c>
      <c r="C103" s="66">
        <v>43441056</v>
      </c>
      <c r="D103" s="66" t="s">
        <v>169</v>
      </c>
      <c r="E103" s="176">
        <v>100.5</v>
      </c>
      <c r="F103" s="5">
        <v>39.396000000000001</v>
      </c>
      <c r="G103" s="5">
        <v>40.790999999999997</v>
      </c>
      <c r="H103" s="5">
        <f t="shared" si="7"/>
        <v>1.394999999999996</v>
      </c>
      <c r="I103" s="16">
        <f t="shared" si="1"/>
        <v>1.1994209999999965</v>
      </c>
      <c r="J103" s="16"/>
      <c r="K103" s="16">
        <f t="shared" si="3"/>
        <v>0.25509092905361969</v>
      </c>
      <c r="L103" s="16">
        <f t="shared" si="4"/>
        <v>1.4545119290536161</v>
      </c>
      <c r="N103" s="13" t="s">
        <v>69</v>
      </c>
    </row>
    <row r="104" spans="1:14" x14ac:dyDescent="0.25">
      <c r="A104" s="1">
        <v>63</v>
      </c>
      <c r="B104" s="47">
        <v>45920</v>
      </c>
      <c r="C104" s="66">
        <v>43441064</v>
      </c>
      <c r="D104" s="66" t="s">
        <v>169</v>
      </c>
      <c r="E104" s="176">
        <v>85.2</v>
      </c>
      <c r="F104" s="5">
        <v>30.942</v>
      </c>
      <c r="G104" s="5">
        <v>32.115000000000002</v>
      </c>
      <c r="H104" s="5">
        <f t="shared" si="7"/>
        <v>1.1730000000000018</v>
      </c>
      <c r="I104" s="16">
        <f t="shared" si="1"/>
        <v>1.0085454000000016</v>
      </c>
      <c r="J104" s="16"/>
      <c r="K104" s="16">
        <f t="shared" si="3"/>
        <v>0.21625619060068055</v>
      </c>
      <c r="L104" s="16">
        <f t="shared" si="4"/>
        <v>1.2248015906006822</v>
      </c>
      <c r="N104" s="13" t="s">
        <v>69</v>
      </c>
    </row>
    <row r="105" spans="1:14" x14ac:dyDescent="0.25">
      <c r="A105" s="1">
        <v>64</v>
      </c>
      <c r="B105" s="47">
        <v>46278</v>
      </c>
      <c r="C105" s="66">
        <v>43441061</v>
      </c>
      <c r="D105" s="66" t="s">
        <v>169</v>
      </c>
      <c r="E105" s="176">
        <v>52.7</v>
      </c>
      <c r="F105" s="5">
        <v>25.634</v>
      </c>
      <c r="G105" s="5">
        <v>26.443999999999999</v>
      </c>
      <c r="H105" s="5">
        <f t="shared" si="7"/>
        <v>0.80999999999999872</v>
      </c>
      <c r="I105" s="16">
        <f t="shared" si="1"/>
        <v>0.69643799999999889</v>
      </c>
      <c r="J105" s="16"/>
      <c r="K105" s="16">
        <f t="shared" si="3"/>
        <v>0.13376409911567916</v>
      </c>
      <c r="L105" s="16">
        <f t="shared" si="4"/>
        <v>0.83020209911567799</v>
      </c>
      <c r="N105" s="13" t="s">
        <v>69</v>
      </c>
    </row>
    <row r="106" spans="1:14" x14ac:dyDescent="0.25">
      <c r="A106" s="1">
        <v>65</v>
      </c>
      <c r="B106" s="33"/>
      <c r="C106" s="66">
        <v>43441055</v>
      </c>
      <c r="D106" s="66" t="s">
        <v>54</v>
      </c>
      <c r="E106" s="176">
        <v>53.1</v>
      </c>
      <c r="F106" s="5">
        <v>17.776</v>
      </c>
      <c r="G106" s="5">
        <v>17.821000000000002</v>
      </c>
      <c r="H106" s="5"/>
      <c r="I106" s="16">
        <f t="shared" si="1"/>
        <v>0</v>
      </c>
      <c r="J106" s="16">
        <f>(((E106*0.015)*12)/7)</f>
        <v>1.3654285714285714</v>
      </c>
      <c r="K106" s="16"/>
      <c r="L106" s="16">
        <f t="shared" si="4"/>
        <v>1.3654285714285714</v>
      </c>
      <c r="N106" s="13" t="s">
        <v>71</v>
      </c>
    </row>
    <row r="107" spans="1:14" x14ac:dyDescent="0.25">
      <c r="A107" s="1">
        <v>66</v>
      </c>
      <c r="B107" s="47">
        <v>45580</v>
      </c>
      <c r="C107" s="66">
        <v>43441063</v>
      </c>
      <c r="D107" s="66" t="s">
        <v>169</v>
      </c>
      <c r="E107" s="176">
        <v>101.1</v>
      </c>
      <c r="F107" s="5">
        <v>7.8970000000000002</v>
      </c>
      <c r="G107" s="5">
        <v>8.3290000000000006</v>
      </c>
      <c r="H107" s="5">
        <f>G107-F107</f>
        <v>0.43200000000000038</v>
      </c>
      <c r="I107" s="16">
        <f t="shared" ref="I107:I126" si="8">H107*0.8598</f>
        <v>0.37143360000000031</v>
      </c>
      <c r="J107" s="16"/>
      <c r="K107" s="16">
        <f t="shared" ref="K107:K119" si="9">E107/($F$11-$F$12)*$K$10</f>
        <v>0.25661385997334279</v>
      </c>
      <c r="L107" s="16">
        <f t="shared" si="4"/>
        <v>0.6280474599733431</v>
      </c>
      <c r="N107" s="13" t="s">
        <v>69</v>
      </c>
    </row>
    <row r="108" spans="1:14" x14ac:dyDescent="0.25">
      <c r="A108" s="1">
        <v>67</v>
      </c>
      <c r="B108" s="47">
        <v>45870</v>
      </c>
      <c r="C108" s="66">
        <v>43441067</v>
      </c>
      <c r="D108" s="66" t="s">
        <v>169</v>
      </c>
      <c r="E108" s="176">
        <v>84.7</v>
      </c>
      <c r="F108" s="5">
        <v>19.030999999999995</v>
      </c>
      <c r="G108" s="5">
        <v>19.030999999999995</v>
      </c>
      <c r="H108" s="5">
        <f>G108-F108</f>
        <v>0</v>
      </c>
      <c r="I108" s="16">
        <f t="shared" si="8"/>
        <v>0</v>
      </c>
      <c r="J108" s="16">
        <f>$I$120/$E$120*E108</f>
        <v>0.64158788856349558</v>
      </c>
      <c r="K108" s="16">
        <f t="shared" si="9"/>
        <v>0.21498708150091131</v>
      </c>
      <c r="L108" s="16">
        <f t="shared" si="4"/>
        <v>0.85657497006440686</v>
      </c>
      <c r="N108" s="13" t="s">
        <v>69</v>
      </c>
    </row>
    <row r="109" spans="1:14" x14ac:dyDescent="0.25">
      <c r="A109" s="1">
        <v>68</v>
      </c>
      <c r="B109" s="47">
        <v>45790</v>
      </c>
      <c r="C109" s="66">
        <v>43441065</v>
      </c>
      <c r="D109" s="66" t="s">
        <v>169</v>
      </c>
      <c r="E109" s="176">
        <v>52.7</v>
      </c>
      <c r="F109" s="5">
        <v>27.873999999999999</v>
      </c>
      <c r="G109" s="5">
        <v>27.873999999999999</v>
      </c>
      <c r="H109" s="5">
        <f>G109-F109</f>
        <v>0</v>
      </c>
      <c r="I109" s="16">
        <f>H109*0.8598</f>
        <v>0</v>
      </c>
      <c r="J109" s="16"/>
      <c r="K109" s="16">
        <f t="shared" si="9"/>
        <v>0.13376409911567916</v>
      </c>
      <c r="L109" s="16">
        <f t="shared" si="4"/>
        <v>0.13376409911567916</v>
      </c>
      <c r="N109" s="13" t="s">
        <v>69</v>
      </c>
    </row>
    <row r="110" spans="1:14" x14ac:dyDescent="0.25">
      <c r="A110" s="1">
        <v>69</v>
      </c>
      <c r="B110" s="47">
        <v>45768</v>
      </c>
      <c r="C110" s="66">
        <v>43441060</v>
      </c>
      <c r="D110" s="66" t="s">
        <v>169</v>
      </c>
      <c r="E110" s="176">
        <v>53.3</v>
      </c>
      <c r="F110" s="5">
        <v>25.425999999999998</v>
      </c>
      <c r="G110" s="5">
        <v>26.702000000000002</v>
      </c>
      <c r="H110" s="5">
        <f>G110-F110</f>
        <v>1.2760000000000034</v>
      </c>
      <c r="I110" s="16">
        <f t="shared" si="8"/>
        <v>1.097104800000003</v>
      </c>
      <c r="J110" s="16"/>
      <c r="K110" s="16">
        <f t="shared" si="9"/>
        <v>0.13528703003540227</v>
      </c>
      <c r="L110" s="16">
        <f t="shared" si="4"/>
        <v>1.2323918300354053</v>
      </c>
      <c r="N110" s="13" t="s">
        <v>69</v>
      </c>
    </row>
    <row r="111" spans="1:14" x14ac:dyDescent="0.25">
      <c r="A111" s="1">
        <v>70</v>
      </c>
      <c r="B111" s="47">
        <v>46117</v>
      </c>
      <c r="C111" s="66">
        <v>43441066</v>
      </c>
      <c r="D111" s="66" t="s">
        <v>169</v>
      </c>
      <c r="E111" s="176">
        <v>101.3</v>
      </c>
      <c r="F111" s="5">
        <v>61.853000000000002</v>
      </c>
      <c r="G111" s="5">
        <v>62.978999999999999</v>
      </c>
      <c r="H111" s="5">
        <f>G111-F111</f>
        <v>1.1259999999999977</v>
      </c>
      <c r="I111" s="16">
        <f t="shared" si="8"/>
        <v>0.96813479999999796</v>
      </c>
      <c r="J111" s="16"/>
      <c r="K111" s="16">
        <f t="shared" si="9"/>
        <v>0.25712150361325042</v>
      </c>
      <c r="L111" s="16">
        <f t="shared" si="4"/>
        <v>1.2252563036132484</v>
      </c>
      <c r="N111" s="13" t="s">
        <v>69</v>
      </c>
    </row>
    <row r="112" spans="1:14" x14ac:dyDescent="0.25">
      <c r="A112" s="1">
        <v>71</v>
      </c>
      <c r="B112" s="33"/>
      <c r="C112" s="66">
        <v>43441350</v>
      </c>
      <c r="D112" s="66" t="s">
        <v>54</v>
      </c>
      <c r="E112" s="176">
        <v>85.7</v>
      </c>
      <c r="F112" s="5">
        <v>82.891000000000005</v>
      </c>
      <c r="G112" s="5">
        <v>82.891000000000005</v>
      </c>
      <c r="H112" s="5"/>
      <c r="I112" s="16">
        <f t="shared" si="8"/>
        <v>0</v>
      </c>
      <c r="J112" s="16">
        <f t="shared" ref="J112:J113" si="10">(((E112*0.015)*12)/7)</f>
        <v>2.2037142857142862</v>
      </c>
      <c r="K112" s="16"/>
      <c r="L112" s="16">
        <f t="shared" si="4"/>
        <v>2.2037142857142862</v>
      </c>
      <c r="N112" s="13" t="s">
        <v>71</v>
      </c>
    </row>
    <row r="113" spans="1:17" x14ac:dyDescent="0.25">
      <c r="A113" s="1">
        <v>72</v>
      </c>
      <c r="B113" s="33"/>
      <c r="C113" s="66">
        <v>43441353</v>
      </c>
      <c r="D113" s="66" t="s">
        <v>54</v>
      </c>
      <c r="E113" s="176">
        <v>52.8</v>
      </c>
      <c r="F113" s="5">
        <v>32.359000000000002</v>
      </c>
      <c r="G113" s="5">
        <v>33.555</v>
      </c>
      <c r="H113" s="5"/>
      <c r="I113" s="16">
        <f t="shared" si="8"/>
        <v>0</v>
      </c>
      <c r="J113" s="16">
        <f t="shared" si="10"/>
        <v>1.3577142857142857</v>
      </c>
      <c r="K113" s="16"/>
      <c r="L113" s="16">
        <f t="shared" si="4"/>
        <v>1.3577142857142857</v>
      </c>
      <c r="N113" s="13" t="s">
        <v>71</v>
      </c>
    </row>
    <row r="114" spans="1:17" x14ac:dyDescent="0.25">
      <c r="A114" s="1">
        <v>73</v>
      </c>
      <c r="B114" s="47">
        <v>45982</v>
      </c>
      <c r="C114" s="66" t="s">
        <v>143</v>
      </c>
      <c r="D114" s="66" t="s">
        <v>54</v>
      </c>
      <c r="E114" s="176">
        <v>52.8</v>
      </c>
      <c r="F114" s="39">
        <v>0</v>
      </c>
      <c r="G114" s="39">
        <v>0.44400000000000001</v>
      </c>
      <c r="H114" s="5"/>
      <c r="I114" s="16">
        <f>G114-F114</f>
        <v>0.44400000000000001</v>
      </c>
      <c r="J114" s="16"/>
      <c r="K114" s="16">
        <f t="shared" si="9"/>
        <v>0.134017920935633</v>
      </c>
      <c r="L114" s="16">
        <f t="shared" si="4"/>
        <v>0.57801792093563298</v>
      </c>
      <c r="N114" s="13" t="s">
        <v>69</v>
      </c>
    </row>
    <row r="115" spans="1:17" x14ac:dyDescent="0.25">
      <c r="A115" s="42">
        <v>74</v>
      </c>
      <c r="B115" s="47">
        <v>46168</v>
      </c>
      <c r="C115" s="66" t="s">
        <v>144</v>
      </c>
      <c r="D115" s="66" t="s">
        <v>54</v>
      </c>
      <c r="E115" s="176">
        <v>100.6</v>
      </c>
      <c r="F115" s="39">
        <v>0</v>
      </c>
      <c r="G115" s="39">
        <v>1.1870000000000001</v>
      </c>
      <c r="H115" s="5"/>
      <c r="I115" s="16">
        <f t="shared" ref="I115" si="11">G115-F115</f>
        <v>1.1870000000000001</v>
      </c>
      <c r="J115" s="16"/>
      <c r="K115" s="16">
        <f t="shared" si="9"/>
        <v>0.2553447508735735</v>
      </c>
      <c r="L115" s="95">
        <f>I115+J115+K115</f>
        <v>1.4423447508735736</v>
      </c>
      <c r="N115" s="13" t="s">
        <v>69</v>
      </c>
      <c r="P115" s="12"/>
      <c r="Q115" s="12"/>
    </row>
    <row r="116" spans="1:17" x14ac:dyDescent="0.25">
      <c r="A116" s="1" t="s">
        <v>37</v>
      </c>
      <c r="B116" s="47"/>
      <c r="C116" s="66"/>
      <c r="D116" s="66"/>
      <c r="E116" s="176">
        <v>120.9</v>
      </c>
      <c r="F116" s="39"/>
      <c r="G116" s="39"/>
      <c r="H116" s="5"/>
      <c r="I116" s="16"/>
      <c r="J116" s="16"/>
      <c r="K116" s="16">
        <f t="shared" si="9"/>
        <v>0.30687058032420517</v>
      </c>
      <c r="L116" s="95">
        <f t="shared" ref="L116:L119" si="12">I116+J116+K116</f>
        <v>0.30687058032420517</v>
      </c>
      <c r="N116" s="13"/>
      <c r="P116" s="12"/>
      <c r="Q116" s="12"/>
    </row>
    <row r="117" spans="1:17" x14ac:dyDescent="0.25">
      <c r="A117" s="1" t="s">
        <v>38</v>
      </c>
      <c r="B117" s="47"/>
      <c r="C117" s="66"/>
      <c r="D117" s="66"/>
      <c r="E117" s="176">
        <v>68.5</v>
      </c>
      <c r="F117" s="39"/>
      <c r="G117" s="39"/>
      <c r="H117" s="5"/>
      <c r="I117" s="16"/>
      <c r="J117" s="16"/>
      <c r="K117" s="16">
        <f t="shared" si="9"/>
        <v>0.17386794666838754</v>
      </c>
      <c r="L117" s="95">
        <f t="shared" si="12"/>
        <v>0.17386794666838754</v>
      </c>
      <c r="N117" s="13"/>
      <c r="P117" s="12"/>
      <c r="Q117" s="12"/>
    </row>
    <row r="118" spans="1:17" x14ac:dyDescent="0.25">
      <c r="A118" s="1" t="s">
        <v>39</v>
      </c>
      <c r="B118" s="47"/>
      <c r="C118" s="66"/>
      <c r="D118" s="66"/>
      <c r="E118" s="176">
        <v>106.9</v>
      </c>
      <c r="F118" s="39"/>
      <c r="G118" s="39"/>
      <c r="H118" s="5"/>
      <c r="I118" s="16"/>
      <c r="J118" s="16"/>
      <c r="K118" s="95">
        <f t="shared" si="9"/>
        <v>0.27133552553066609</v>
      </c>
      <c r="L118" s="95">
        <f t="shared" si="12"/>
        <v>0.27133552553066609</v>
      </c>
      <c r="N118" s="13"/>
      <c r="P118" s="12"/>
      <c r="Q118" s="12"/>
    </row>
    <row r="119" spans="1:17" ht="15.75" thickBot="1" x14ac:dyDescent="0.3">
      <c r="A119" s="192" t="s">
        <v>40</v>
      </c>
      <c r="B119" s="193"/>
      <c r="C119" s="69"/>
      <c r="D119" s="275"/>
      <c r="E119" s="198">
        <v>163.80000000000001</v>
      </c>
      <c r="F119" s="194"/>
      <c r="G119" s="194"/>
      <c r="H119" s="195"/>
      <c r="I119" s="19"/>
      <c r="J119" s="19"/>
      <c r="K119" s="95">
        <f t="shared" si="9"/>
        <v>0.41576014108440701</v>
      </c>
      <c r="L119" s="95">
        <f t="shared" si="12"/>
        <v>0.41576014108440701</v>
      </c>
      <c r="N119" s="13"/>
      <c r="P119" s="12"/>
      <c r="Q119" s="12"/>
    </row>
    <row r="120" spans="1:17" ht="15.75" thickBot="1" x14ac:dyDescent="0.3">
      <c r="A120" s="219" t="s">
        <v>73</v>
      </c>
      <c r="B120" s="220"/>
      <c r="C120" s="220"/>
      <c r="D120" s="182"/>
      <c r="E120" s="92">
        <f>SUM(E42:E119)</f>
        <v>5798.800000000002</v>
      </c>
      <c r="F120" s="221" t="s">
        <v>74</v>
      </c>
      <c r="G120" s="221"/>
      <c r="H120" s="221"/>
      <c r="I120" s="64">
        <f>SUM(I42:I115)</f>
        <v>43.92490965999999</v>
      </c>
      <c r="J120" s="64">
        <f>SUM(J42:J115)</f>
        <v>30.637302174277785</v>
      </c>
      <c r="K120" s="64">
        <f>SUM(K42:K119)</f>
        <v>11.757788165722211</v>
      </c>
      <c r="L120" s="93">
        <f>SUM(L42:L119)</f>
        <v>86.319999999999908</v>
      </c>
      <c r="N120" s="13"/>
    </row>
    <row r="121" spans="1:17" x14ac:dyDescent="0.25">
      <c r="A121" s="9">
        <v>75</v>
      </c>
      <c r="B121" s="105">
        <v>46854</v>
      </c>
      <c r="C121" s="69" t="s">
        <v>145</v>
      </c>
      <c r="D121" s="66" t="s">
        <v>54</v>
      </c>
      <c r="E121" s="181">
        <v>85</v>
      </c>
      <c r="F121" s="6">
        <v>1.679</v>
      </c>
      <c r="G121" s="6">
        <v>2.855</v>
      </c>
      <c r="H121" s="6"/>
      <c r="I121" s="16">
        <f>G121-F121</f>
        <v>1.1759999999999999</v>
      </c>
      <c r="J121" s="16"/>
      <c r="K121" s="16">
        <f>E121/($F$18-$F$19)*$K$17</f>
        <v>0.29874559339909673</v>
      </c>
      <c r="L121" s="19">
        <f>I121+J121+K121</f>
        <v>1.4747455933990967</v>
      </c>
      <c r="N121" s="13" t="s">
        <v>69</v>
      </c>
    </row>
    <row r="122" spans="1:17" x14ac:dyDescent="0.25">
      <c r="A122" s="1">
        <v>76</v>
      </c>
      <c r="B122" s="47">
        <v>45939</v>
      </c>
      <c r="C122" s="66">
        <v>43441335</v>
      </c>
      <c r="D122" s="66" t="s">
        <v>169</v>
      </c>
      <c r="E122" s="176">
        <v>58.3</v>
      </c>
      <c r="F122" s="5">
        <v>46.865000000000002</v>
      </c>
      <c r="G122" s="5">
        <v>48.287999999999997</v>
      </c>
      <c r="H122" s="5">
        <f>G122-F122</f>
        <v>1.4229999999999947</v>
      </c>
      <c r="I122" s="16">
        <f>H122*0.8598</f>
        <v>1.2234953999999956</v>
      </c>
      <c r="J122" s="16"/>
      <c r="K122" s="16">
        <f>E122/($F$18-$F$19)*$K$17</f>
        <v>0.20490433053138041</v>
      </c>
      <c r="L122" s="19">
        <f t="shared" ref="L122:L179" si="13">I122+J122+K122</f>
        <v>1.428399730531376</v>
      </c>
      <c r="N122" s="13" t="s">
        <v>69</v>
      </c>
    </row>
    <row r="123" spans="1:17" x14ac:dyDescent="0.25">
      <c r="A123" s="1">
        <v>77</v>
      </c>
      <c r="B123" s="47">
        <v>45950</v>
      </c>
      <c r="C123" s="66">
        <v>43441338</v>
      </c>
      <c r="D123" s="66" t="s">
        <v>169</v>
      </c>
      <c r="E123" s="176">
        <v>58.5</v>
      </c>
      <c r="F123" s="5">
        <v>45.908000000000001</v>
      </c>
      <c r="G123" s="5">
        <v>47.731999999999999</v>
      </c>
      <c r="H123" s="5">
        <f>G123-F123</f>
        <v>1.8239999999999981</v>
      </c>
      <c r="I123" s="16">
        <f>H123*0.8598</f>
        <v>1.5682751999999984</v>
      </c>
      <c r="J123" s="16"/>
      <c r="K123" s="16">
        <f>E123/($F$18-$F$19)*$K$17</f>
        <v>0.20560726133937832</v>
      </c>
      <c r="L123" s="19">
        <f t="shared" si="13"/>
        <v>1.7738824613393767</v>
      </c>
      <c r="N123" s="13" t="s">
        <v>69</v>
      </c>
    </row>
    <row r="124" spans="1:17" x14ac:dyDescent="0.25">
      <c r="A124" s="1">
        <v>78</v>
      </c>
      <c r="B124" s="47">
        <v>45459</v>
      </c>
      <c r="C124" s="66" t="s">
        <v>109</v>
      </c>
      <c r="D124" s="66" t="s">
        <v>54</v>
      </c>
      <c r="E124" s="176">
        <v>76.599999999999994</v>
      </c>
      <c r="F124" s="39">
        <v>7.806</v>
      </c>
      <c r="G124" s="39">
        <v>8.8290000000000006</v>
      </c>
      <c r="H124" s="5"/>
      <c r="I124" s="16">
        <f>G124-F124</f>
        <v>1.0230000000000006</v>
      </c>
      <c r="J124" s="16"/>
      <c r="K124" s="16">
        <f>E124/($F$18-$F$19)*$K$17</f>
        <v>0.26922249946318594</v>
      </c>
      <c r="L124" s="19">
        <f t="shared" si="13"/>
        <v>1.2922224994631866</v>
      </c>
      <c r="N124" s="13" t="s">
        <v>69</v>
      </c>
    </row>
    <row r="125" spans="1:17" x14ac:dyDescent="0.25">
      <c r="A125" s="1">
        <v>79</v>
      </c>
      <c r="B125" s="47">
        <v>45747</v>
      </c>
      <c r="C125" s="66">
        <v>43441336</v>
      </c>
      <c r="D125" s="66" t="s">
        <v>169</v>
      </c>
      <c r="E125" s="176">
        <v>85.7</v>
      </c>
      <c r="F125" s="5">
        <v>23.536000000000001</v>
      </c>
      <c r="G125" s="5">
        <v>24.667999999999999</v>
      </c>
      <c r="H125" s="5">
        <f>G125-F125</f>
        <v>1.1319999999999979</v>
      </c>
      <c r="I125" s="16">
        <f>H125*0.8598</f>
        <v>0.9732935999999982</v>
      </c>
      <c r="J125" s="16"/>
      <c r="K125" s="16">
        <f>E125/($F$18-$F$19)*$K$17</f>
        <v>0.30120585122708926</v>
      </c>
      <c r="L125" s="19">
        <f t="shared" si="13"/>
        <v>1.2744994512270875</v>
      </c>
      <c r="N125" s="13" t="s">
        <v>69</v>
      </c>
      <c r="P125" s="24"/>
    </row>
    <row r="126" spans="1:17" x14ac:dyDescent="0.25">
      <c r="A126" s="1">
        <v>80</v>
      </c>
      <c r="B126" s="33"/>
      <c r="C126" s="66">
        <v>43441339</v>
      </c>
      <c r="D126" s="66" t="s">
        <v>54</v>
      </c>
      <c r="E126" s="176">
        <v>58.3</v>
      </c>
      <c r="F126" s="5">
        <v>42.872999999999998</v>
      </c>
      <c r="G126" s="5">
        <v>44.276000000000003</v>
      </c>
      <c r="H126" s="5"/>
      <c r="I126" s="16">
        <f t="shared" si="8"/>
        <v>0</v>
      </c>
      <c r="J126" s="16">
        <f>(((E126*0.015)*12)/7)</f>
        <v>1.4991428571428571</v>
      </c>
      <c r="K126" s="16"/>
      <c r="L126" s="19">
        <f t="shared" si="13"/>
        <v>1.4991428571428571</v>
      </c>
      <c r="N126" s="13" t="s">
        <v>71</v>
      </c>
      <c r="P126" s="30"/>
    </row>
    <row r="127" spans="1:17" x14ac:dyDescent="0.25">
      <c r="A127" s="1">
        <v>81</v>
      </c>
      <c r="B127" s="47">
        <v>46832</v>
      </c>
      <c r="C127" s="66" t="s">
        <v>133</v>
      </c>
      <c r="D127" s="66" t="s">
        <v>54</v>
      </c>
      <c r="E127" s="176">
        <v>58.4</v>
      </c>
      <c r="F127" s="39">
        <v>1E-3</v>
      </c>
      <c r="G127" s="39">
        <v>7.1999999999999995E-2</v>
      </c>
      <c r="H127" s="5"/>
      <c r="I127" s="16">
        <f>G127-F127</f>
        <v>7.0999999999999994E-2</v>
      </c>
      <c r="J127" s="16"/>
      <c r="K127" s="16">
        <f>E127/($F$18-$F$19)*$K$17</f>
        <v>0.2052557959353794</v>
      </c>
      <c r="L127" s="19">
        <f t="shared" si="13"/>
        <v>0.27625579593537941</v>
      </c>
      <c r="N127" s="13" t="s">
        <v>69</v>
      </c>
      <c r="P127" s="24"/>
    </row>
    <row r="128" spans="1:17" x14ac:dyDescent="0.25">
      <c r="A128" s="1">
        <v>82</v>
      </c>
      <c r="B128" s="48">
        <v>45937</v>
      </c>
      <c r="C128" s="66">
        <v>43441334</v>
      </c>
      <c r="D128" s="66" t="s">
        <v>169</v>
      </c>
      <c r="E128" s="176">
        <v>76.400000000000006</v>
      </c>
      <c r="F128" s="5">
        <v>31.844000000000001</v>
      </c>
      <c r="G128" s="5">
        <v>31.844000000000001</v>
      </c>
      <c r="H128" s="5">
        <f>G128-F128</f>
        <v>0</v>
      </c>
      <c r="I128" s="16">
        <f t="shared" ref="I128:I155" si="14">H128*0.8598</f>
        <v>0</v>
      </c>
      <c r="J128" s="16"/>
      <c r="K128" s="16">
        <f>E128/($F$18-$F$19)*$K$17</f>
        <v>0.26851956865518811</v>
      </c>
      <c r="L128" s="19">
        <f t="shared" si="13"/>
        <v>0.26851956865518811</v>
      </c>
      <c r="N128" s="13" t="s">
        <v>69</v>
      </c>
    </row>
    <row r="129" spans="1:14" x14ac:dyDescent="0.25">
      <c r="A129" s="1">
        <v>83</v>
      </c>
      <c r="B129" s="47">
        <v>45847</v>
      </c>
      <c r="C129" s="66">
        <v>43441340</v>
      </c>
      <c r="D129" s="66" t="s">
        <v>169</v>
      </c>
      <c r="E129" s="176">
        <v>85.5</v>
      </c>
      <c r="F129" s="5">
        <v>60.497999999999998</v>
      </c>
      <c r="G129" s="5">
        <v>61.732999999999997</v>
      </c>
      <c r="H129" s="5">
        <f>G129-F129</f>
        <v>1.2349999999999994</v>
      </c>
      <c r="I129" s="16">
        <f t="shared" si="14"/>
        <v>1.0618529999999995</v>
      </c>
      <c r="J129" s="16"/>
      <c r="K129" s="16">
        <f>E129/($F$18-$F$19)*$K$17</f>
        <v>0.30050292041909138</v>
      </c>
      <c r="L129" s="19">
        <f t="shared" si="13"/>
        <v>1.3623559204190909</v>
      </c>
      <c r="N129" s="13" t="s">
        <v>69</v>
      </c>
    </row>
    <row r="130" spans="1:14" x14ac:dyDescent="0.25">
      <c r="A130" s="1">
        <v>84</v>
      </c>
      <c r="B130" s="33"/>
      <c r="C130" s="66">
        <v>43441326</v>
      </c>
      <c r="D130" s="66" t="s">
        <v>54</v>
      </c>
      <c r="E130" s="176">
        <v>58.6</v>
      </c>
      <c r="F130" s="5">
        <v>6.2569999999999997</v>
      </c>
      <c r="G130" s="5">
        <v>6.2610000000000001</v>
      </c>
      <c r="H130" s="5"/>
      <c r="I130" s="16">
        <f t="shared" si="14"/>
        <v>0</v>
      </c>
      <c r="J130" s="16">
        <f t="shared" ref="J130:J131" si="15">(((E130*0.015)*12)/7)</f>
        <v>1.5068571428571429</v>
      </c>
      <c r="K130" s="16"/>
      <c r="L130" s="19">
        <f t="shared" si="13"/>
        <v>1.5068571428571429</v>
      </c>
      <c r="N130" s="13" t="s">
        <v>71</v>
      </c>
    </row>
    <row r="131" spans="1:14" x14ac:dyDescent="0.25">
      <c r="A131" s="1">
        <v>85</v>
      </c>
      <c r="B131" s="33"/>
      <c r="C131" s="66">
        <v>43441323</v>
      </c>
      <c r="D131" s="66" t="s">
        <v>54</v>
      </c>
      <c r="E131" s="176">
        <v>59.6</v>
      </c>
      <c r="F131" s="5">
        <v>31.298999999999999</v>
      </c>
      <c r="G131" s="5">
        <v>32.393999999999998</v>
      </c>
      <c r="H131" s="5"/>
      <c r="I131" s="16">
        <f t="shared" si="14"/>
        <v>0</v>
      </c>
      <c r="J131" s="16">
        <f t="shared" si="15"/>
        <v>1.5325714285714285</v>
      </c>
      <c r="K131" s="16"/>
      <c r="L131" s="19">
        <f t="shared" si="13"/>
        <v>1.5325714285714285</v>
      </c>
      <c r="N131" s="13" t="s">
        <v>71</v>
      </c>
    </row>
    <row r="132" spans="1:14" x14ac:dyDescent="0.25">
      <c r="A132" s="1">
        <v>86</v>
      </c>
      <c r="B132" s="48">
        <v>45674</v>
      </c>
      <c r="C132" s="66">
        <v>43441329</v>
      </c>
      <c r="D132" s="66" t="s">
        <v>169</v>
      </c>
      <c r="E132" s="176">
        <v>76.5</v>
      </c>
      <c r="F132" s="5">
        <v>8.0150000000000006</v>
      </c>
      <c r="G132" s="5">
        <v>8.2379999999999995</v>
      </c>
      <c r="H132" s="5">
        <f>G132-F132</f>
        <v>0.22299999999999898</v>
      </c>
      <c r="I132" s="16">
        <f>H132*0.8598</f>
        <v>0.19173539999999911</v>
      </c>
      <c r="J132" s="16"/>
      <c r="K132" s="16">
        <f>E132/($F$18-$F$19)*$K$17</f>
        <v>0.268871034059187</v>
      </c>
      <c r="L132" s="19">
        <f>I132+J132+K132</f>
        <v>0.46060643405918611</v>
      </c>
      <c r="N132" s="13" t="s">
        <v>69</v>
      </c>
    </row>
    <row r="133" spans="1:14" x14ac:dyDescent="0.25">
      <c r="A133" s="1">
        <v>87</v>
      </c>
      <c r="B133" s="47">
        <v>46265</v>
      </c>
      <c r="C133" s="66">
        <v>43441330</v>
      </c>
      <c r="D133" s="66" t="s">
        <v>169</v>
      </c>
      <c r="E133" s="176">
        <v>85.1</v>
      </c>
      <c r="F133" s="5">
        <v>56.753999999999998</v>
      </c>
      <c r="G133" s="5">
        <v>57.664999999999999</v>
      </c>
      <c r="H133" s="5">
        <f>G133-F133</f>
        <v>0.91100000000000136</v>
      </c>
      <c r="I133" s="16">
        <f>H133*0.8598</f>
        <v>0.78327780000000113</v>
      </c>
      <c r="J133" s="16"/>
      <c r="K133" s="16">
        <f>E133/($F$18-$F$19)*$K$17</f>
        <v>0.29909705880309562</v>
      </c>
      <c r="L133" s="19">
        <f t="shared" si="13"/>
        <v>1.0823748588030968</v>
      </c>
      <c r="N133" s="13" t="s">
        <v>69</v>
      </c>
    </row>
    <row r="134" spans="1:14" x14ac:dyDescent="0.25">
      <c r="A134" s="1">
        <v>88</v>
      </c>
      <c r="B134" s="47">
        <v>45914</v>
      </c>
      <c r="C134" s="66">
        <v>43441327</v>
      </c>
      <c r="D134" s="66" t="s">
        <v>169</v>
      </c>
      <c r="E134" s="176">
        <v>58.4</v>
      </c>
      <c r="F134" s="5">
        <v>30.704999999999998</v>
      </c>
      <c r="G134" s="5">
        <v>31.097999999999999</v>
      </c>
      <c r="H134" s="5">
        <f>G134-F134</f>
        <v>0.39300000000000068</v>
      </c>
      <c r="I134" s="16">
        <f t="shared" si="14"/>
        <v>0.33790140000000057</v>
      </c>
      <c r="J134" s="16"/>
      <c r="K134" s="16">
        <f>E134/($F$18-$F$19)*$K$17</f>
        <v>0.2052557959353794</v>
      </c>
      <c r="L134" s="19">
        <f t="shared" si="13"/>
        <v>0.54315719593538003</v>
      </c>
      <c r="N134" s="13" t="s">
        <v>69</v>
      </c>
    </row>
    <row r="135" spans="1:14" x14ac:dyDescent="0.25">
      <c r="A135" s="1">
        <v>89</v>
      </c>
      <c r="B135" s="47">
        <v>45889</v>
      </c>
      <c r="C135" s="66">
        <v>43441324</v>
      </c>
      <c r="D135" s="66" t="s">
        <v>169</v>
      </c>
      <c r="E135" s="176">
        <v>58.7</v>
      </c>
      <c r="F135" s="5">
        <v>33.438000000000002</v>
      </c>
      <c r="G135" s="5">
        <v>33.438000000000002</v>
      </c>
      <c r="H135" s="5">
        <f>G135-F135</f>
        <v>0</v>
      </c>
      <c r="I135" s="16">
        <f t="shared" si="14"/>
        <v>0</v>
      </c>
      <c r="J135" s="16"/>
      <c r="K135" s="16">
        <f>E135/($F$18-$F$19)*$K$17</f>
        <v>0.2063101921473762</v>
      </c>
      <c r="L135" s="19">
        <f t="shared" si="13"/>
        <v>0.2063101921473762</v>
      </c>
      <c r="N135" s="13" t="s">
        <v>69</v>
      </c>
    </row>
    <row r="136" spans="1:14" x14ac:dyDescent="0.25">
      <c r="A136" s="1">
        <v>90</v>
      </c>
      <c r="B136" s="33"/>
      <c r="C136" s="66">
        <v>43441325</v>
      </c>
      <c r="D136" s="66" t="s">
        <v>54</v>
      </c>
      <c r="E136" s="176">
        <v>77.7</v>
      </c>
      <c r="F136" s="5">
        <v>41.16</v>
      </c>
      <c r="G136" s="5">
        <v>42.247</v>
      </c>
      <c r="H136" s="5"/>
      <c r="I136" s="16">
        <f t="shared" si="14"/>
        <v>0</v>
      </c>
      <c r="J136" s="16">
        <f>(((E136*0.015)*12)/7)</f>
        <v>1.998</v>
      </c>
      <c r="K136" s="16"/>
      <c r="L136" s="19">
        <f t="shared" si="13"/>
        <v>1.998</v>
      </c>
      <c r="N136" s="13" t="s">
        <v>71</v>
      </c>
    </row>
    <row r="137" spans="1:14" x14ac:dyDescent="0.25">
      <c r="A137" s="1">
        <v>91</v>
      </c>
      <c r="B137" s="47">
        <v>45756</v>
      </c>
      <c r="C137" s="66">
        <v>43441328</v>
      </c>
      <c r="D137" s="66" t="s">
        <v>169</v>
      </c>
      <c r="E137" s="176">
        <v>85.3</v>
      </c>
      <c r="F137" s="5">
        <v>17.555</v>
      </c>
      <c r="G137" s="5">
        <v>18.536999999999999</v>
      </c>
      <c r="H137" s="5">
        <f>G137-F137</f>
        <v>0.98199999999999932</v>
      </c>
      <c r="I137" s="16">
        <f t="shared" si="14"/>
        <v>0.8443235999999994</v>
      </c>
      <c r="J137" s="16"/>
      <c r="K137" s="16">
        <f>E137/($F$18-$F$19)*$K$17</f>
        <v>0.2997999896110935</v>
      </c>
      <c r="L137" s="19">
        <f t="shared" si="13"/>
        <v>1.1441235896110928</v>
      </c>
      <c r="N137" s="13" t="s">
        <v>69</v>
      </c>
    </row>
    <row r="138" spans="1:14" x14ac:dyDescent="0.25">
      <c r="A138" s="1">
        <v>92</v>
      </c>
      <c r="B138" s="47">
        <v>45900</v>
      </c>
      <c r="C138" s="66">
        <v>43441331</v>
      </c>
      <c r="D138" s="66" t="s">
        <v>169</v>
      </c>
      <c r="E138" s="176">
        <v>58.5</v>
      </c>
      <c r="F138" s="5">
        <v>42.601999999999997</v>
      </c>
      <c r="G138" s="5">
        <v>43.512</v>
      </c>
      <c r="H138" s="5">
        <f>G138-F138</f>
        <v>0.91000000000000369</v>
      </c>
      <c r="I138" s="16">
        <f t="shared" si="14"/>
        <v>0.78241800000000317</v>
      </c>
      <c r="J138" s="16"/>
      <c r="K138" s="16">
        <f>E138/($F$18-$F$19)*$K$17</f>
        <v>0.20560726133937832</v>
      </c>
      <c r="L138" s="19">
        <f t="shared" si="13"/>
        <v>0.98802526133938151</v>
      </c>
      <c r="N138" s="13" t="s">
        <v>69</v>
      </c>
    </row>
    <row r="139" spans="1:14" x14ac:dyDescent="0.25">
      <c r="A139" s="1">
        <v>93</v>
      </c>
      <c r="B139" s="47">
        <v>45912</v>
      </c>
      <c r="C139" s="66">
        <v>34242164</v>
      </c>
      <c r="D139" s="66" t="s">
        <v>169</v>
      </c>
      <c r="E139" s="176">
        <v>59.3</v>
      </c>
      <c r="F139" s="5">
        <v>22.623000000000001</v>
      </c>
      <c r="G139" s="5">
        <v>22.623000000000001</v>
      </c>
      <c r="H139" s="5">
        <f>G139-F139</f>
        <v>0</v>
      </c>
      <c r="I139" s="16">
        <f t="shared" si="14"/>
        <v>0</v>
      </c>
      <c r="J139" s="16"/>
      <c r="K139" s="16">
        <f>E139/($F$18-$F$19)*$K$17</f>
        <v>0.20841898457136981</v>
      </c>
      <c r="L139" s="19">
        <f t="shared" si="13"/>
        <v>0.20841898457136981</v>
      </c>
      <c r="N139" s="13" t="s">
        <v>69</v>
      </c>
    </row>
    <row r="140" spans="1:14" x14ac:dyDescent="0.25">
      <c r="A140" s="1">
        <v>94</v>
      </c>
      <c r="B140" s="47">
        <v>46052</v>
      </c>
      <c r="C140" s="66">
        <v>34242158</v>
      </c>
      <c r="D140" s="66" t="s">
        <v>169</v>
      </c>
      <c r="E140" s="176">
        <v>76.8</v>
      </c>
      <c r="F140" s="5">
        <v>35.448999999999998</v>
      </c>
      <c r="G140" s="5">
        <v>36.341000000000001</v>
      </c>
      <c r="H140" s="5">
        <f>G140-F140</f>
        <v>0.89200000000000301</v>
      </c>
      <c r="I140" s="16">
        <f>H140*0.8598</f>
        <v>0.76694160000000255</v>
      </c>
      <c r="J140" s="16"/>
      <c r="K140" s="16">
        <f>E140/($F$18-$F$19)*$K$17</f>
        <v>0.26992543027118382</v>
      </c>
      <c r="L140" s="19">
        <f t="shared" si="13"/>
        <v>1.0368670302711864</v>
      </c>
      <c r="N140" s="13" t="s">
        <v>69</v>
      </c>
    </row>
    <row r="141" spans="1:14" x14ac:dyDescent="0.25">
      <c r="A141" s="1">
        <v>95</v>
      </c>
      <c r="B141" s="33"/>
      <c r="C141" s="66">
        <v>34242124</v>
      </c>
      <c r="D141" s="66" t="s">
        <v>54</v>
      </c>
      <c r="E141" s="176">
        <v>85.2</v>
      </c>
      <c r="F141" s="5">
        <v>57.387</v>
      </c>
      <c r="G141" s="5">
        <v>58.588000000000001</v>
      </c>
      <c r="H141" s="5"/>
      <c r="I141" s="16">
        <f t="shared" si="14"/>
        <v>0</v>
      </c>
      <c r="J141" s="16">
        <f>(((E141*0.015)*12)/7)</f>
        <v>2.1908571428571428</v>
      </c>
      <c r="K141" s="16"/>
      <c r="L141" s="19">
        <f t="shared" si="13"/>
        <v>2.1908571428571428</v>
      </c>
      <c r="N141" s="13" t="s">
        <v>71</v>
      </c>
    </row>
    <row r="142" spans="1:14" x14ac:dyDescent="0.25">
      <c r="A142" s="1">
        <v>96</v>
      </c>
      <c r="B142" s="47">
        <v>45767</v>
      </c>
      <c r="C142" s="66">
        <v>34242122</v>
      </c>
      <c r="D142" s="66" t="s">
        <v>169</v>
      </c>
      <c r="E142" s="176">
        <v>58.1</v>
      </c>
      <c r="F142" s="5">
        <v>25.702999999999999</v>
      </c>
      <c r="G142" s="5">
        <v>26.475999999999999</v>
      </c>
      <c r="H142" s="5">
        <f>G142-F142</f>
        <v>0.77299999999999969</v>
      </c>
      <c r="I142" s="16">
        <f>H142*0.8598</f>
        <v>0.6646253999999997</v>
      </c>
      <c r="J142" s="16"/>
      <c r="K142" s="16">
        <f t="shared" ref="K142:K150" si="16">E142/($F$18-$F$19)*$K$17</f>
        <v>0.20420139972338258</v>
      </c>
      <c r="L142" s="19">
        <f t="shared" si="13"/>
        <v>0.86882679972338228</v>
      </c>
      <c r="N142" s="13" t="s">
        <v>69</v>
      </c>
    </row>
    <row r="143" spans="1:14" x14ac:dyDescent="0.25">
      <c r="A143" s="1">
        <v>97</v>
      </c>
      <c r="B143" s="47">
        <v>46266</v>
      </c>
      <c r="C143" s="66" t="s">
        <v>146</v>
      </c>
      <c r="D143" s="66" t="s">
        <v>54</v>
      </c>
      <c r="E143" s="176">
        <v>57.5</v>
      </c>
      <c r="F143" s="5">
        <v>1.034</v>
      </c>
      <c r="G143" s="5">
        <v>2.0249999999999999</v>
      </c>
      <c r="H143" s="5"/>
      <c r="I143" s="16">
        <f>G143-F143</f>
        <v>0.99099999999999988</v>
      </c>
      <c r="J143" s="16"/>
      <c r="K143" s="16">
        <f t="shared" si="16"/>
        <v>0.20209260729938894</v>
      </c>
      <c r="L143" s="19">
        <f t="shared" si="13"/>
        <v>1.1930926072993888</v>
      </c>
      <c r="N143" s="13" t="s">
        <v>69</v>
      </c>
    </row>
    <row r="144" spans="1:14" x14ac:dyDescent="0.25">
      <c r="A144" s="1">
        <v>98</v>
      </c>
      <c r="B144" s="47">
        <v>45459</v>
      </c>
      <c r="C144" s="66" t="s">
        <v>134</v>
      </c>
      <c r="D144" s="66" t="s">
        <v>54</v>
      </c>
      <c r="E144" s="176">
        <v>77</v>
      </c>
      <c r="F144" s="39">
        <v>5.5439999999999996</v>
      </c>
      <c r="G144" s="39">
        <v>6.49</v>
      </c>
      <c r="H144" s="5"/>
      <c r="I144" s="16">
        <f>G144-F144</f>
        <v>0.94600000000000062</v>
      </c>
      <c r="J144" s="16"/>
      <c r="K144" s="16">
        <f t="shared" si="16"/>
        <v>0.2706283610791817</v>
      </c>
      <c r="L144" s="19">
        <f t="shared" si="13"/>
        <v>1.2166283610791824</v>
      </c>
      <c r="N144" s="13" t="s">
        <v>69</v>
      </c>
    </row>
    <row r="145" spans="1:14" x14ac:dyDescent="0.25">
      <c r="A145" s="1">
        <v>99</v>
      </c>
      <c r="B145" s="47">
        <v>45767</v>
      </c>
      <c r="C145" s="66">
        <v>34242441</v>
      </c>
      <c r="D145" s="66" t="s">
        <v>169</v>
      </c>
      <c r="E145" s="176">
        <v>85.4</v>
      </c>
      <c r="F145" s="5">
        <v>13.664</v>
      </c>
      <c r="G145" s="5">
        <v>13.664</v>
      </c>
      <c r="H145" s="5">
        <f>G145-F145</f>
        <v>0</v>
      </c>
      <c r="I145" s="16">
        <f t="shared" ref="I145:I146" si="17">H145*0.8598</f>
        <v>0</v>
      </c>
      <c r="J145" s="16"/>
      <c r="K145" s="16">
        <f t="shared" si="16"/>
        <v>0.30015145501509244</v>
      </c>
      <c r="L145" s="19">
        <f t="shared" si="13"/>
        <v>0.30015145501509244</v>
      </c>
      <c r="N145" s="13" t="s">
        <v>69</v>
      </c>
    </row>
    <row r="146" spans="1:14" x14ac:dyDescent="0.25">
      <c r="A146" s="1">
        <v>100</v>
      </c>
      <c r="B146" s="47">
        <v>45585</v>
      </c>
      <c r="C146" s="66">
        <v>34242395</v>
      </c>
      <c r="D146" s="66" t="s">
        <v>169</v>
      </c>
      <c r="E146" s="176">
        <v>58.2</v>
      </c>
      <c r="F146" s="5">
        <v>28.568999999999999</v>
      </c>
      <c r="G146" s="5">
        <v>28.823</v>
      </c>
      <c r="H146" s="5">
        <f>G146-F146</f>
        <v>0.25400000000000134</v>
      </c>
      <c r="I146" s="16">
        <f t="shared" si="17"/>
        <v>0.21838920000000114</v>
      </c>
      <c r="J146" s="16"/>
      <c r="K146" s="16">
        <f t="shared" si="16"/>
        <v>0.20455286512738152</v>
      </c>
      <c r="L146" s="19">
        <f t="shared" si="13"/>
        <v>0.42294206512738264</v>
      </c>
      <c r="N146" s="13" t="s">
        <v>69</v>
      </c>
    </row>
    <row r="147" spans="1:14" x14ac:dyDescent="0.25">
      <c r="A147" s="1">
        <v>101</v>
      </c>
      <c r="B147" s="47">
        <v>45459</v>
      </c>
      <c r="C147" s="10" t="s">
        <v>96</v>
      </c>
      <c r="D147" s="66" t="s">
        <v>54</v>
      </c>
      <c r="E147" s="176">
        <v>59</v>
      </c>
      <c r="F147" s="39">
        <v>0.14299999999999999</v>
      </c>
      <c r="G147" s="39">
        <v>0.153</v>
      </c>
      <c r="H147" s="5"/>
      <c r="I147" s="16">
        <f>G147-F147</f>
        <v>1.0000000000000009E-2</v>
      </c>
      <c r="J147" s="16"/>
      <c r="K147" s="16">
        <f t="shared" si="16"/>
        <v>0.20736458835937302</v>
      </c>
      <c r="L147" s="19">
        <f t="shared" si="13"/>
        <v>0.21736458835937303</v>
      </c>
      <c r="N147" s="13" t="s">
        <v>69</v>
      </c>
    </row>
    <row r="148" spans="1:14" x14ac:dyDescent="0.25">
      <c r="A148" s="1">
        <v>102</v>
      </c>
      <c r="B148" s="47">
        <v>45809</v>
      </c>
      <c r="C148" s="66">
        <v>34242123</v>
      </c>
      <c r="D148" s="66" t="s">
        <v>169</v>
      </c>
      <c r="E148" s="176">
        <v>77.599999999999994</v>
      </c>
      <c r="F148" s="5">
        <v>19.079000000000001</v>
      </c>
      <c r="G148" s="5">
        <v>19.079000000000001</v>
      </c>
      <c r="H148" s="5">
        <f>G148-F148</f>
        <v>0</v>
      </c>
      <c r="I148" s="16">
        <f>H148*0.8598</f>
        <v>0</v>
      </c>
      <c r="J148" s="16">
        <f>$I$180/$E$180*E148</f>
        <v>0.53540964819230963</v>
      </c>
      <c r="K148" s="16">
        <f t="shared" si="16"/>
        <v>0.27273715350317529</v>
      </c>
      <c r="L148" s="19">
        <f t="shared" si="13"/>
        <v>0.80814680169548492</v>
      </c>
      <c r="N148" s="13" t="s">
        <v>69</v>
      </c>
    </row>
    <row r="149" spans="1:14" x14ac:dyDescent="0.25">
      <c r="A149" s="1">
        <v>103</v>
      </c>
      <c r="B149" s="47">
        <v>45327</v>
      </c>
      <c r="C149" s="10" t="s">
        <v>97</v>
      </c>
      <c r="D149" s="66" t="s">
        <v>54</v>
      </c>
      <c r="E149" s="176">
        <v>85.4</v>
      </c>
      <c r="F149" s="5">
        <f>12.153+0.3325</f>
        <v>12.4855</v>
      </c>
      <c r="G149" s="5">
        <v>13.297000000000001</v>
      </c>
      <c r="H149" s="5"/>
      <c r="I149" s="16">
        <f>G149-F149</f>
        <v>0.81150000000000055</v>
      </c>
      <c r="J149" s="16"/>
      <c r="K149" s="16">
        <f t="shared" si="16"/>
        <v>0.30015145501509244</v>
      </c>
      <c r="L149" s="19">
        <f>I149+J149+K149</f>
        <v>1.1116514550150929</v>
      </c>
      <c r="N149" s="13" t="s">
        <v>69</v>
      </c>
    </row>
    <row r="150" spans="1:14" x14ac:dyDescent="0.25">
      <c r="A150" s="1">
        <v>104</v>
      </c>
      <c r="B150" s="47">
        <v>45951</v>
      </c>
      <c r="C150" s="66">
        <v>43242242</v>
      </c>
      <c r="D150" s="66" t="s">
        <v>169</v>
      </c>
      <c r="E150" s="176">
        <v>58.8</v>
      </c>
      <c r="F150" s="5">
        <v>44.011000000000003</v>
      </c>
      <c r="G150" s="5">
        <v>44.645000000000003</v>
      </c>
      <c r="H150" s="5">
        <f>G150-F150</f>
        <v>0.63400000000000034</v>
      </c>
      <c r="I150" s="16">
        <f>H150*0.8598</f>
        <v>0.5451132000000003</v>
      </c>
      <c r="J150" s="16"/>
      <c r="K150" s="16">
        <f t="shared" si="16"/>
        <v>0.20666165755137514</v>
      </c>
      <c r="L150" s="19">
        <f t="shared" si="13"/>
        <v>0.75177485755137541</v>
      </c>
      <c r="N150" s="13" t="s">
        <v>69</v>
      </c>
    </row>
    <row r="151" spans="1:14" x14ac:dyDescent="0.25">
      <c r="A151" s="1">
        <v>105</v>
      </c>
      <c r="B151" s="34"/>
      <c r="C151" s="66">
        <v>34242113</v>
      </c>
      <c r="D151" s="66" t="s">
        <v>54</v>
      </c>
      <c r="E151" s="176">
        <v>59.2</v>
      </c>
      <c r="F151" s="5">
        <v>31.309000000000001</v>
      </c>
      <c r="G151" s="5">
        <v>31.309000000000001</v>
      </c>
      <c r="H151" s="5"/>
      <c r="I151" s="16">
        <f t="shared" si="14"/>
        <v>0</v>
      </c>
      <c r="J151" s="16">
        <f>(((E151*0.015)*12)/7)</f>
        <v>1.5222857142857145</v>
      </c>
      <c r="K151" s="16"/>
      <c r="L151" s="19">
        <f t="shared" si="13"/>
        <v>1.5222857142857145</v>
      </c>
      <c r="N151" s="13" t="s">
        <v>71</v>
      </c>
    </row>
    <row r="152" spans="1:14" x14ac:dyDescent="0.25">
      <c r="A152" s="1">
        <v>106</v>
      </c>
      <c r="B152" s="47">
        <v>45703</v>
      </c>
      <c r="C152" s="67">
        <v>34242119</v>
      </c>
      <c r="D152" s="66" t="s">
        <v>169</v>
      </c>
      <c r="E152" s="176">
        <v>76.8</v>
      </c>
      <c r="F152" s="5">
        <v>55.639000000000003</v>
      </c>
      <c r="G152" s="5">
        <v>56.732999999999997</v>
      </c>
      <c r="H152" s="5">
        <f>G152-F152</f>
        <v>1.0939999999999941</v>
      </c>
      <c r="I152" s="16">
        <f>H152*0.8598</f>
        <v>0.94062119999999494</v>
      </c>
      <c r="J152" s="16"/>
      <c r="K152" s="16">
        <f>E152/($F$18-$F$19)*$K$17</f>
        <v>0.26992543027118382</v>
      </c>
      <c r="L152" s="19">
        <f t="shared" si="13"/>
        <v>1.2105466302711787</v>
      </c>
      <c r="M152" s="24"/>
      <c r="N152" s="13" t="s">
        <v>69</v>
      </c>
    </row>
    <row r="153" spans="1:14" x14ac:dyDescent="0.25">
      <c r="A153" s="1">
        <v>107</v>
      </c>
      <c r="B153" s="33"/>
      <c r="C153" s="66">
        <v>34242112</v>
      </c>
      <c r="D153" s="66" t="s">
        <v>54</v>
      </c>
      <c r="E153" s="176">
        <v>85.1</v>
      </c>
      <c r="F153" s="5">
        <v>50.433999999999997</v>
      </c>
      <c r="G153" s="5">
        <v>51.643999999999998</v>
      </c>
      <c r="H153" s="5"/>
      <c r="I153" s="16">
        <f t="shared" si="14"/>
        <v>0</v>
      </c>
      <c r="J153" s="16">
        <f>(((E153*0.015)*12)/7)</f>
        <v>2.1882857142857142</v>
      </c>
      <c r="K153" s="16"/>
      <c r="L153" s="19">
        <f t="shared" si="13"/>
        <v>2.1882857142857142</v>
      </c>
      <c r="N153" s="13" t="s">
        <v>71</v>
      </c>
    </row>
    <row r="154" spans="1:14" x14ac:dyDescent="0.25">
      <c r="A154" s="1">
        <v>108</v>
      </c>
      <c r="B154" s="47">
        <v>45718</v>
      </c>
      <c r="C154" s="66">
        <v>34242115</v>
      </c>
      <c r="D154" s="66" t="s">
        <v>169</v>
      </c>
      <c r="E154" s="176">
        <v>58.5</v>
      </c>
      <c r="F154" s="5">
        <v>17.402999999999999</v>
      </c>
      <c r="G154" s="5">
        <v>17.776</v>
      </c>
      <c r="H154" s="5">
        <f>G154-F154</f>
        <v>0.37300000000000111</v>
      </c>
      <c r="I154" s="16">
        <f t="shared" si="14"/>
        <v>0.32070540000000097</v>
      </c>
      <c r="J154" s="16"/>
      <c r="K154" s="16">
        <f t="shared" ref="K154:K166" si="18">E154/($F$18-$F$19)*$K$17</f>
        <v>0.20560726133937832</v>
      </c>
      <c r="L154" s="19">
        <f t="shared" si="13"/>
        <v>0.52631266133937926</v>
      </c>
      <c r="M154" s="24"/>
      <c r="N154" s="13" t="s">
        <v>69</v>
      </c>
    </row>
    <row r="155" spans="1:14" x14ac:dyDescent="0.25">
      <c r="A155" s="1">
        <v>109</v>
      </c>
      <c r="B155" s="47">
        <v>45641</v>
      </c>
      <c r="C155" s="66">
        <v>34242118</v>
      </c>
      <c r="D155" s="66" t="s">
        <v>169</v>
      </c>
      <c r="E155" s="176">
        <v>59.1</v>
      </c>
      <c r="F155" s="5">
        <v>44.58</v>
      </c>
      <c r="G155" s="5">
        <v>45.804000000000002</v>
      </c>
      <c r="H155" s="5">
        <f>G155-F155</f>
        <v>1.2240000000000038</v>
      </c>
      <c r="I155" s="16">
        <f t="shared" si="14"/>
        <v>1.0523952000000032</v>
      </c>
      <c r="J155" s="16"/>
      <c r="K155" s="16">
        <f t="shared" si="18"/>
        <v>0.20771605376337193</v>
      </c>
      <c r="L155" s="19">
        <f t="shared" si="13"/>
        <v>1.2601112537633752</v>
      </c>
      <c r="N155" s="13" t="s">
        <v>69</v>
      </c>
    </row>
    <row r="156" spans="1:14" x14ac:dyDescent="0.25">
      <c r="A156" s="1">
        <v>110</v>
      </c>
      <c r="B156" s="47">
        <v>45955</v>
      </c>
      <c r="C156" s="66" t="s">
        <v>111</v>
      </c>
      <c r="D156" s="66" t="s">
        <v>54</v>
      </c>
      <c r="E156" s="176">
        <v>77.099999999999994</v>
      </c>
      <c r="F156" s="39">
        <v>2.7759999999999998</v>
      </c>
      <c r="G156" s="39">
        <v>2.899</v>
      </c>
      <c r="H156" s="5"/>
      <c r="I156" s="16">
        <f t="shared" ref="I156:I157" si="19">G156-F156</f>
        <v>0.12300000000000022</v>
      </c>
      <c r="J156" s="16"/>
      <c r="K156" s="16">
        <f t="shared" si="18"/>
        <v>0.27097982648318064</v>
      </c>
      <c r="L156" s="19">
        <f t="shared" si="13"/>
        <v>0.39397982648318086</v>
      </c>
      <c r="N156" s="13" t="s">
        <v>69</v>
      </c>
    </row>
    <row r="157" spans="1:14" x14ac:dyDescent="0.25">
      <c r="A157" s="1">
        <v>111</v>
      </c>
      <c r="B157" s="47">
        <v>45327</v>
      </c>
      <c r="C157" s="10" t="s">
        <v>58</v>
      </c>
      <c r="D157" s="66" t="s">
        <v>54</v>
      </c>
      <c r="E157" s="176">
        <v>85.1</v>
      </c>
      <c r="F157" s="39">
        <v>9.5820000000000007</v>
      </c>
      <c r="G157" s="39">
        <v>10.391</v>
      </c>
      <c r="H157" s="39"/>
      <c r="I157" s="16">
        <f t="shared" si="19"/>
        <v>0.80899999999999928</v>
      </c>
      <c r="J157" s="16"/>
      <c r="K157" s="16">
        <f t="shared" si="18"/>
        <v>0.29909705880309562</v>
      </c>
      <c r="L157" s="19">
        <f t="shared" si="13"/>
        <v>1.1080970588030949</v>
      </c>
      <c r="N157" s="13" t="s">
        <v>69</v>
      </c>
    </row>
    <row r="158" spans="1:14" x14ac:dyDescent="0.25">
      <c r="A158" s="1">
        <v>112</v>
      </c>
      <c r="B158" s="47">
        <v>45622</v>
      </c>
      <c r="C158" s="66">
        <v>34242117</v>
      </c>
      <c r="D158" s="66" t="s">
        <v>169</v>
      </c>
      <c r="E158" s="176">
        <v>57.5</v>
      </c>
      <c r="F158" s="5">
        <v>22.135999999999999</v>
      </c>
      <c r="G158" s="5">
        <v>22.382000000000001</v>
      </c>
      <c r="H158" s="5">
        <f t="shared" ref="H158:H166" si="20">G158-F158</f>
        <v>0.24600000000000222</v>
      </c>
      <c r="I158" s="16">
        <f t="shared" ref="I158:I189" si="21">H158*0.8598</f>
        <v>0.21151080000000191</v>
      </c>
      <c r="J158" s="16"/>
      <c r="K158" s="16">
        <f t="shared" si="18"/>
        <v>0.20209260729938894</v>
      </c>
      <c r="L158" s="19">
        <f t="shared" si="13"/>
        <v>0.41360340729939082</v>
      </c>
      <c r="N158" s="13" t="s">
        <v>69</v>
      </c>
    </row>
    <row r="159" spans="1:14" x14ac:dyDescent="0.25">
      <c r="A159" s="1">
        <v>113</v>
      </c>
      <c r="B159" s="47">
        <v>45957</v>
      </c>
      <c r="C159" s="66">
        <v>34242125</v>
      </c>
      <c r="D159" s="66" t="s">
        <v>169</v>
      </c>
      <c r="E159" s="176">
        <v>58.9</v>
      </c>
      <c r="F159" s="5">
        <v>23.849</v>
      </c>
      <c r="G159" s="5">
        <v>24.388999999999999</v>
      </c>
      <c r="H159" s="5">
        <f t="shared" si="20"/>
        <v>0.53999999999999915</v>
      </c>
      <c r="I159" s="16">
        <f t="shared" si="21"/>
        <v>0.46429199999999926</v>
      </c>
      <c r="J159" s="16"/>
      <c r="K159" s="16">
        <f t="shared" si="18"/>
        <v>0.20701312295537408</v>
      </c>
      <c r="L159" s="19">
        <f t="shared" si="13"/>
        <v>0.67130512295537337</v>
      </c>
      <c r="N159" s="13" t="s">
        <v>69</v>
      </c>
    </row>
    <row r="160" spans="1:14" x14ac:dyDescent="0.25">
      <c r="A160" s="1">
        <v>114</v>
      </c>
      <c r="B160" s="48">
        <v>45875</v>
      </c>
      <c r="C160" s="66">
        <v>34242154</v>
      </c>
      <c r="D160" s="66" t="s">
        <v>169</v>
      </c>
      <c r="E160" s="176">
        <v>77.099999999999994</v>
      </c>
      <c r="F160" s="5">
        <v>8.5760000000000005</v>
      </c>
      <c r="G160" s="5">
        <v>10.385999999999999</v>
      </c>
      <c r="H160" s="5">
        <f t="shared" si="20"/>
        <v>1.8099999999999987</v>
      </c>
      <c r="I160" s="16">
        <f t="shared" si="21"/>
        <v>1.5562379999999989</v>
      </c>
      <c r="J160" s="16"/>
      <c r="K160" s="16">
        <f t="shared" si="18"/>
        <v>0.27097982648318064</v>
      </c>
      <c r="L160" s="19">
        <f t="shared" si="13"/>
        <v>1.8272178264831795</v>
      </c>
      <c r="N160" s="13" t="s">
        <v>69</v>
      </c>
    </row>
    <row r="161" spans="1:17" x14ac:dyDescent="0.25">
      <c r="A161" s="1">
        <v>115</v>
      </c>
      <c r="B161" s="47">
        <v>45912</v>
      </c>
      <c r="C161" s="66">
        <v>34242149</v>
      </c>
      <c r="D161" s="66" t="s">
        <v>169</v>
      </c>
      <c r="E161" s="176">
        <v>85.3</v>
      </c>
      <c r="F161" s="5">
        <v>37.158999999999999</v>
      </c>
      <c r="G161" s="5">
        <v>38.655000000000001</v>
      </c>
      <c r="H161" s="5">
        <f t="shared" si="20"/>
        <v>1.4960000000000022</v>
      </c>
      <c r="I161" s="16">
        <f t="shared" si="21"/>
        <v>1.286260800000002</v>
      </c>
      <c r="J161" s="16"/>
      <c r="K161" s="16">
        <f t="shared" si="18"/>
        <v>0.2997999896110935</v>
      </c>
      <c r="L161" s="19">
        <f t="shared" si="13"/>
        <v>1.5860607896110954</v>
      </c>
      <c r="N161" s="13" t="s">
        <v>69</v>
      </c>
    </row>
    <row r="162" spans="1:17" x14ac:dyDescent="0.25">
      <c r="A162" s="1">
        <v>116</v>
      </c>
      <c r="B162" s="47">
        <v>46112</v>
      </c>
      <c r="C162" s="66">
        <v>34242157</v>
      </c>
      <c r="D162" s="66" t="s">
        <v>169</v>
      </c>
      <c r="E162" s="176">
        <v>59.6</v>
      </c>
      <c r="F162" s="5">
        <v>27.286000000000001</v>
      </c>
      <c r="G162" s="5">
        <v>28.068000000000001</v>
      </c>
      <c r="H162" s="5">
        <f t="shared" si="20"/>
        <v>0.78200000000000003</v>
      </c>
      <c r="I162" s="16">
        <f t="shared" si="21"/>
        <v>0.67236360000000006</v>
      </c>
      <c r="J162" s="16"/>
      <c r="K162" s="16">
        <f t="shared" si="18"/>
        <v>0.20947338078336664</v>
      </c>
      <c r="L162" s="19">
        <f t="shared" si="13"/>
        <v>0.8818369807833667</v>
      </c>
      <c r="N162" s="13" t="s">
        <v>69</v>
      </c>
    </row>
    <row r="163" spans="1:17" x14ac:dyDescent="0.25">
      <c r="A163" s="1">
        <v>117</v>
      </c>
      <c r="B163" s="47">
        <v>45732</v>
      </c>
      <c r="C163" s="66">
        <v>41341239</v>
      </c>
      <c r="D163" s="66" t="s">
        <v>169</v>
      </c>
      <c r="E163" s="176">
        <v>59</v>
      </c>
      <c r="F163" s="5">
        <v>13.278</v>
      </c>
      <c r="G163" s="5">
        <v>13.489000000000001</v>
      </c>
      <c r="H163" s="5">
        <f t="shared" si="20"/>
        <v>0.2110000000000003</v>
      </c>
      <c r="I163" s="16">
        <f t="shared" si="21"/>
        <v>0.18141780000000027</v>
      </c>
      <c r="J163" s="16"/>
      <c r="K163" s="16">
        <f t="shared" si="18"/>
        <v>0.20736458835937302</v>
      </c>
      <c r="L163" s="19">
        <f t="shared" si="13"/>
        <v>0.38878238835937329</v>
      </c>
      <c r="N163" s="13" t="s">
        <v>69</v>
      </c>
    </row>
    <row r="164" spans="1:17" x14ac:dyDescent="0.25">
      <c r="A164" s="1">
        <v>118</v>
      </c>
      <c r="B164" s="47">
        <v>45718</v>
      </c>
      <c r="C164" s="66">
        <v>34242156</v>
      </c>
      <c r="D164" s="66" t="s">
        <v>169</v>
      </c>
      <c r="E164" s="176">
        <v>78</v>
      </c>
      <c r="F164" s="5">
        <v>11.231</v>
      </c>
      <c r="G164" s="5">
        <v>11.659000000000001</v>
      </c>
      <c r="H164" s="5">
        <f t="shared" si="20"/>
        <v>0.42800000000000082</v>
      </c>
      <c r="I164" s="16">
        <f t="shared" si="21"/>
        <v>0.36799440000000072</v>
      </c>
      <c r="J164" s="16"/>
      <c r="K164" s="16">
        <f t="shared" si="18"/>
        <v>0.27414301511917111</v>
      </c>
      <c r="L164" s="19">
        <f t="shared" si="13"/>
        <v>0.64213741511917188</v>
      </c>
      <c r="N164" s="13" t="s">
        <v>69</v>
      </c>
    </row>
    <row r="165" spans="1:17" x14ac:dyDescent="0.25">
      <c r="A165" s="1">
        <v>119</v>
      </c>
      <c r="B165" s="47">
        <v>45755</v>
      </c>
      <c r="C165" s="66">
        <v>34242162</v>
      </c>
      <c r="D165" s="66" t="s">
        <v>169</v>
      </c>
      <c r="E165" s="176">
        <v>85.5</v>
      </c>
      <c r="F165" s="5">
        <v>33.959000000000003</v>
      </c>
      <c r="G165" s="5">
        <v>34.716000000000001</v>
      </c>
      <c r="H165" s="5">
        <f t="shared" si="20"/>
        <v>0.7569999999999979</v>
      </c>
      <c r="I165" s="16">
        <f t="shared" si="21"/>
        <v>0.65086859999999824</v>
      </c>
      <c r="J165" s="16"/>
      <c r="K165" s="16">
        <f t="shared" si="18"/>
        <v>0.30050292041909138</v>
      </c>
      <c r="L165" s="19">
        <f t="shared" si="13"/>
        <v>0.95137152041908957</v>
      </c>
      <c r="N165" s="13" t="s">
        <v>69</v>
      </c>
    </row>
    <row r="166" spans="1:17" x14ac:dyDescent="0.25">
      <c r="A166" s="1">
        <v>120</v>
      </c>
      <c r="B166" s="47">
        <v>45922</v>
      </c>
      <c r="C166" s="66">
        <v>20140179</v>
      </c>
      <c r="D166" s="66" t="s">
        <v>169</v>
      </c>
      <c r="E166" s="176">
        <v>58.9</v>
      </c>
      <c r="F166" s="5">
        <v>32.892000000000003</v>
      </c>
      <c r="G166" s="5">
        <v>33.911999999999999</v>
      </c>
      <c r="H166" s="5">
        <f t="shared" si="20"/>
        <v>1.019999999999996</v>
      </c>
      <c r="I166" s="16">
        <f t="shared" si="21"/>
        <v>0.87699599999999656</v>
      </c>
      <c r="J166" s="16"/>
      <c r="K166" s="16">
        <f t="shared" si="18"/>
        <v>0.20701312295537408</v>
      </c>
      <c r="L166" s="19">
        <f t="shared" si="13"/>
        <v>1.0840091229553706</v>
      </c>
      <c r="N166" s="13" t="s">
        <v>69</v>
      </c>
    </row>
    <row r="167" spans="1:17" x14ac:dyDescent="0.25">
      <c r="A167" s="1">
        <v>121</v>
      </c>
      <c r="B167" s="33"/>
      <c r="C167" s="66">
        <v>34242161</v>
      </c>
      <c r="D167" s="66" t="s">
        <v>54</v>
      </c>
      <c r="E167" s="176">
        <v>59.2</v>
      </c>
      <c r="F167" s="5">
        <v>37.551000000000002</v>
      </c>
      <c r="G167" s="5">
        <v>38.515999999999998</v>
      </c>
      <c r="H167" s="5"/>
      <c r="I167" s="16">
        <f t="shared" si="21"/>
        <v>0</v>
      </c>
      <c r="J167" s="16">
        <f t="shared" ref="J167:J168" si="22">(((E167*0.015)*12)/7)</f>
        <v>1.5222857142857145</v>
      </c>
      <c r="K167" s="16"/>
      <c r="L167" s="19">
        <f t="shared" si="13"/>
        <v>1.5222857142857145</v>
      </c>
      <c r="N167" s="13" t="s">
        <v>71</v>
      </c>
    </row>
    <row r="168" spans="1:17" x14ac:dyDescent="0.25">
      <c r="A168" s="1">
        <v>122</v>
      </c>
      <c r="B168" s="34"/>
      <c r="C168" s="66">
        <v>34242151</v>
      </c>
      <c r="D168" s="66" t="s">
        <v>54</v>
      </c>
      <c r="E168" s="176">
        <v>78.099999999999994</v>
      </c>
      <c r="F168" s="5">
        <v>34.637999999999998</v>
      </c>
      <c r="G168" s="5">
        <v>36.383000000000003</v>
      </c>
      <c r="H168" s="5"/>
      <c r="I168" s="16">
        <f t="shared" si="21"/>
        <v>0</v>
      </c>
      <c r="J168" s="16">
        <f t="shared" si="22"/>
        <v>2.0082857142857136</v>
      </c>
      <c r="K168" s="16"/>
      <c r="L168" s="19">
        <f t="shared" si="13"/>
        <v>2.0082857142857136</v>
      </c>
      <c r="N168" s="13" t="s">
        <v>71</v>
      </c>
    </row>
    <row r="169" spans="1:17" x14ac:dyDescent="0.25">
      <c r="A169" s="1">
        <v>123</v>
      </c>
      <c r="B169" s="47">
        <v>45748</v>
      </c>
      <c r="C169" s="66">
        <v>34242148</v>
      </c>
      <c r="D169" s="66" t="s">
        <v>169</v>
      </c>
      <c r="E169" s="176">
        <v>85.2</v>
      </c>
      <c r="F169" s="5">
        <v>15.837999999999999</v>
      </c>
      <c r="G169" s="5">
        <v>16.652999999999999</v>
      </c>
      <c r="H169" s="5">
        <f>G169-F169</f>
        <v>0.8149999999999995</v>
      </c>
      <c r="I169" s="16">
        <f t="shared" si="21"/>
        <v>0.70073699999999961</v>
      </c>
      <c r="J169" s="16"/>
      <c r="K169" s="16">
        <f>E169/($F$18-$F$19)*$K$17</f>
        <v>0.29944852420709456</v>
      </c>
      <c r="L169" s="19">
        <f t="shared" si="13"/>
        <v>1.0001855242070943</v>
      </c>
      <c r="N169" s="13" t="s">
        <v>69</v>
      </c>
    </row>
    <row r="170" spans="1:17" x14ac:dyDescent="0.25">
      <c r="A170" s="1">
        <v>124</v>
      </c>
      <c r="B170" s="47">
        <v>45747</v>
      </c>
      <c r="C170" s="66">
        <v>34242163</v>
      </c>
      <c r="D170" s="66" t="s">
        <v>169</v>
      </c>
      <c r="E170" s="176">
        <v>59.3</v>
      </c>
      <c r="F170" s="5">
        <v>37.703000000000003</v>
      </c>
      <c r="G170" s="5">
        <v>38.700000000000003</v>
      </c>
      <c r="H170" s="5">
        <f>G170-F170</f>
        <v>0.99699999999999989</v>
      </c>
      <c r="I170" s="16">
        <f t="shared" si="21"/>
        <v>0.85722059999999989</v>
      </c>
      <c r="J170" s="16"/>
      <c r="K170" s="16">
        <f>E170/($F$18-$F$19)*$K$17</f>
        <v>0.20841898457136981</v>
      </c>
      <c r="L170" s="19">
        <f t="shared" si="13"/>
        <v>1.0656395845713698</v>
      </c>
      <c r="N170" s="13" t="s">
        <v>69</v>
      </c>
    </row>
    <row r="171" spans="1:17" x14ac:dyDescent="0.25">
      <c r="A171" s="1">
        <v>125</v>
      </c>
      <c r="B171" s="47">
        <v>45944</v>
      </c>
      <c r="C171" s="66">
        <v>34242153</v>
      </c>
      <c r="D171" s="66" t="s">
        <v>169</v>
      </c>
      <c r="E171" s="176">
        <v>59.2</v>
      </c>
      <c r="F171" s="5">
        <v>44.901000000000003</v>
      </c>
      <c r="G171" s="5">
        <v>45.808999999999997</v>
      </c>
      <c r="H171" s="5">
        <f>G171-F171</f>
        <v>0.90799999999999415</v>
      </c>
      <c r="I171" s="16">
        <f t="shared" si="21"/>
        <v>0.78069839999999502</v>
      </c>
      <c r="J171" s="16"/>
      <c r="K171" s="16">
        <f>E171/($F$18-$F$19)*$K$17</f>
        <v>0.20806751916737087</v>
      </c>
      <c r="L171" s="19">
        <f t="shared" si="13"/>
        <v>0.98876591916736589</v>
      </c>
      <c r="N171" s="13" t="s">
        <v>69</v>
      </c>
    </row>
    <row r="172" spans="1:17" x14ac:dyDescent="0.25">
      <c r="A172" s="1">
        <v>126</v>
      </c>
      <c r="B172" s="48">
        <v>45875</v>
      </c>
      <c r="C172" s="66">
        <v>20140213</v>
      </c>
      <c r="D172" s="66" t="s">
        <v>169</v>
      </c>
      <c r="E172" s="176">
        <v>77.599999999999994</v>
      </c>
      <c r="F172" s="5">
        <v>6.8339999999999996</v>
      </c>
      <c r="G172" s="5">
        <v>6.8339999999999996</v>
      </c>
      <c r="H172" s="5">
        <f>G172-F172</f>
        <v>0</v>
      </c>
      <c r="I172" s="16">
        <f t="shared" si="21"/>
        <v>0</v>
      </c>
      <c r="J172" s="16"/>
      <c r="K172" s="16">
        <f>E172/($F$18-$F$19)*$K$17</f>
        <v>0.27273715350317529</v>
      </c>
      <c r="L172" s="19">
        <f t="shared" si="13"/>
        <v>0.27273715350317529</v>
      </c>
      <c r="N172" s="13" t="s">
        <v>69</v>
      </c>
    </row>
    <row r="173" spans="1:17" x14ac:dyDescent="0.25">
      <c r="A173" s="1">
        <v>127</v>
      </c>
      <c r="B173" s="33"/>
      <c r="C173" s="66">
        <v>34242152</v>
      </c>
      <c r="D173" s="66" t="s">
        <v>54</v>
      </c>
      <c r="E173" s="176">
        <v>85.2</v>
      </c>
      <c r="F173" s="5">
        <v>84.311000000000007</v>
      </c>
      <c r="G173" s="5">
        <v>85.825000000000003</v>
      </c>
      <c r="H173" s="5"/>
      <c r="I173" s="16">
        <f t="shared" si="21"/>
        <v>0</v>
      </c>
      <c r="J173" s="16">
        <f>(((E173*0.015)*12)/7)</f>
        <v>2.1908571428571428</v>
      </c>
      <c r="K173" s="16"/>
      <c r="L173" s="19">
        <f t="shared" si="13"/>
        <v>2.1908571428571428</v>
      </c>
      <c r="N173" s="13" t="s">
        <v>71</v>
      </c>
    </row>
    <row r="174" spans="1:17" x14ac:dyDescent="0.25">
      <c r="A174" s="1">
        <v>128</v>
      </c>
      <c r="B174" s="47">
        <v>46165</v>
      </c>
      <c r="C174" s="66">
        <v>34242147</v>
      </c>
      <c r="D174" s="66" t="s">
        <v>169</v>
      </c>
      <c r="E174" s="176">
        <v>58.9</v>
      </c>
      <c r="F174" s="5">
        <v>25.759</v>
      </c>
      <c r="G174" s="5">
        <v>26.84</v>
      </c>
      <c r="H174" s="5">
        <f>G174-F174</f>
        <v>1.0809999999999995</v>
      </c>
      <c r="I174" s="16">
        <f t="shared" si="21"/>
        <v>0.9294437999999996</v>
      </c>
      <c r="J174" s="16"/>
      <c r="K174" s="16">
        <f>E174/($F$18-$F$19)*$K$17</f>
        <v>0.20701312295537408</v>
      </c>
      <c r="L174" s="19">
        <f t="shared" si="13"/>
        <v>1.1364569229553736</v>
      </c>
      <c r="N174" s="13" t="s">
        <v>69</v>
      </c>
    </row>
    <row r="175" spans="1:17" x14ac:dyDescent="0.25">
      <c r="A175" s="1">
        <v>129</v>
      </c>
      <c r="B175" s="47">
        <v>45984</v>
      </c>
      <c r="C175" s="66" t="s">
        <v>112</v>
      </c>
      <c r="D175" s="66" t="s">
        <v>54</v>
      </c>
      <c r="E175" s="176">
        <v>58.6</v>
      </c>
      <c r="F175" s="39">
        <v>4.1879999999999997</v>
      </c>
      <c r="G175" s="39">
        <v>5.2329999999999997</v>
      </c>
      <c r="H175" s="5"/>
      <c r="I175" s="16">
        <f>G175-F175</f>
        <v>1.0449999999999999</v>
      </c>
      <c r="J175" s="16"/>
      <c r="K175" s="16">
        <f>E175/($F$18-$F$19)*$K$17</f>
        <v>0.20595872674337726</v>
      </c>
      <c r="L175" s="19">
        <f t="shared" si="13"/>
        <v>1.2509587267433773</v>
      </c>
      <c r="N175" s="13" t="s">
        <v>69</v>
      </c>
    </row>
    <row r="176" spans="1:17" x14ac:dyDescent="0.25">
      <c r="A176" s="1">
        <v>130</v>
      </c>
      <c r="B176" s="48">
        <v>45875</v>
      </c>
      <c r="C176" s="66">
        <v>34242150</v>
      </c>
      <c r="D176" s="66" t="s">
        <v>169</v>
      </c>
      <c r="E176" s="176">
        <v>77.599999999999994</v>
      </c>
      <c r="F176" s="5">
        <v>7.0449999999999999</v>
      </c>
      <c r="G176" s="5">
        <v>7.0449999999999999</v>
      </c>
      <c r="H176" s="5">
        <f>G176-F176</f>
        <v>0</v>
      </c>
      <c r="I176" s="16">
        <f>H176*0.8598</f>
        <v>0</v>
      </c>
      <c r="J176" s="16"/>
      <c r="K176" s="16">
        <f>E176/($F$18-$F$19)*$K$17</f>
        <v>0.27273715350317529</v>
      </c>
      <c r="L176" s="96">
        <f t="shared" si="13"/>
        <v>0.27273715350317529</v>
      </c>
      <c r="N176" s="13" t="s">
        <v>69</v>
      </c>
      <c r="P176" s="12"/>
      <c r="Q176" s="12"/>
    </row>
    <row r="177" spans="1:17" x14ac:dyDescent="0.25">
      <c r="A177" s="1" t="s">
        <v>41</v>
      </c>
      <c r="B177" s="48"/>
      <c r="C177" s="66"/>
      <c r="D177" s="66"/>
      <c r="E177" s="176">
        <v>109.8</v>
      </c>
      <c r="F177" s="5"/>
      <c r="G177" s="5"/>
      <c r="H177" s="5"/>
      <c r="I177" s="16"/>
      <c r="J177" s="16"/>
      <c r="K177" s="95">
        <f t="shared" ref="K177:K179" si="23">E177/($F$18-$F$19)*$K$17</f>
        <v>0.38590901359083318</v>
      </c>
      <c r="L177" s="16">
        <f t="shared" si="13"/>
        <v>0.38590901359083318</v>
      </c>
      <c r="N177" s="13"/>
      <c r="P177" s="12"/>
      <c r="Q177" s="12"/>
    </row>
    <row r="178" spans="1:17" x14ac:dyDescent="0.25">
      <c r="A178" s="1" t="s">
        <v>42</v>
      </c>
      <c r="B178" s="48"/>
      <c r="C178" s="66"/>
      <c r="D178" s="66"/>
      <c r="E178" s="176">
        <v>58.7</v>
      </c>
      <c r="F178" s="5"/>
      <c r="G178" s="5"/>
      <c r="H178" s="5"/>
      <c r="I178" s="16"/>
      <c r="J178" s="16"/>
      <c r="K178" s="95">
        <f t="shared" si="23"/>
        <v>0.2063101921473762</v>
      </c>
      <c r="L178" s="16">
        <f t="shared" si="13"/>
        <v>0.2063101921473762</v>
      </c>
      <c r="N178" s="13"/>
      <c r="P178" s="12"/>
      <c r="Q178" s="12"/>
    </row>
    <row r="179" spans="1:17" ht="15.75" thickBot="1" x14ac:dyDescent="0.3">
      <c r="A179" s="15" t="s">
        <v>43</v>
      </c>
      <c r="B179" s="197"/>
      <c r="C179" s="68"/>
      <c r="D179" s="68"/>
      <c r="E179" s="90">
        <v>89.1</v>
      </c>
      <c r="F179" s="8"/>
      <c r="G179" s="8"/>
      <c r="H179" s="8"/>
      <c r="I179" s="91"/>
      <c r="J179" s="91"/>
      <c r="K179" s="91">
        <f t="shared" si="23"/>
        <v>0.31315567496305313</v>
      </c>
      <c r="L179" s="199">
        <f t="shared" si="13"/>
        <v>0.31315567496305313</v>
      </c>
      <c r="N179" s="13"/>
      <c r="P179" s="12"/>
      <c r="Q179" s="12"/>
    </row>
    <row r="180" spans="1:17" ht="15.75" thickBot="1" x14ac:dyDescent="0.3">
      <c r="A180" s="272" t="s">
        <v>75</v>
      </c>
      <c r="B180" s="273"/>
      <c r="C180" s="273"/>
      <c r="D180" s="187"/>
      <c r="E180" s="200">
        <f>SUM(E121:E179)</f>
        <v>4176.5999999999995</v>
      </c>
      <c r="F180" s="274" t="s">
        <v>76</v>
      </c>
      <c r="G180" s="274"/>
      <c r="H180" s="274"/>
      <c r="I180" s="201">
        <f>SUM(I121:I176)</f>
        <v>28.816906400000001</v>
      </c>
      <c r="J180" s="201">
        <f>SUM(J121:J176)</f>
        <v>18.694838219620884</v>
      </c>
      <c r="K180" s="201">
        <f>SUM(K121:K179)</f>
        <v>12.19725538037912</v>
      </c>
      <c r="L180" s="202">
        <f>SUM(L121:L179)</f>
        <v>59.708999999999996</v>
      </c>
      <c r="N180" s="13"/>
    </row>
    <row r="181" spans="1:17" x14ac:dyDescent="0.25">
      <c r="A181" s="9">
        <v>131</v>
      </c>
      <c r="B181" s="105">
        <v>45957</v>
      </c>
      <c r="C181" s="69" t="s">
        <v>113</v>
      </c>
      <c r="D181" s="66" t="s">
        <v>54</v>
      </c>
      <c r="E181" s="179">
        <v>84.1</v>
      </c>
      <c r="F181" s="280">
        <v>7.5510000000000002</v>
      </c>
      <c r="G181" s="280">
        <v>8.5500000000000007</v>
      </c>
      <c r="H181" s="280"/>
      <c r="I181" s="16">
        <f>G181-F181</f>
        <v>0.99900000000000055</v>
      </c>
      <c r="J181" s="16"/>
      <c r="K181" s="16">
        <f>E181/($F$25-$F$26)*$K$24</f>
        <v>0.28552951993355469</v>
      </c>
      <c r="L181" s="19">
        <f>I181+J181+K181</f>
        <v>1.2845295199335554</v>
      </c>
      <c r="N181" s="13" t="s">
        <v>69</v>
      </c>
      <c r="P181" s="12"/>
    </row>
    <row r="182" spans="1:17" x14ac:dyDescent="0.25">
      <c r="A182" s="1">
        <v>132</v>
      </c>
      <c r="B182" s="47">
        <v>45915</v>
      </c>
      <c r="C182" s="66">
        <v>43242256</v>
      </c>
      <c r="D182" s="66" t="s">
        <v>169</v>
      </c>
      <c r="E182" s="176">
        <v>56.3</v>
      </c>
      <c r="F182" s="5">
        <v>31.5</v>
      </c>
      <c r="G182" s="5">
        <v>31.803000000000001</v>
      </c>
      <c r="H182" s="5">
        <f>G182-F182</f>
        <v>0.30300000000000082</v>
      </c>
      <c r="I182" s="16">
        <f t="shared" si="21"/>
        <v>0.26051940000000073</v>
      </c>
      <c r="J182" s="16"/>
      <c r="K182" s="16">
        <f t="shared" ref="K182:K216" si="24">E182/($F$25-$F$26)*$K$24</f>
        <v>0.19114520775575658</v>
      </c>
      <c r="L182" s="19">
        <f t="shared" ref="L182:L236" si="25">I182+J182+K182</f>
        <v>0.45166460775575734</v>
      </c>
      <c r="N182" s="13" t="s">
        <v>69</v>
      </c>
    </row>
    <row r="183" spans="1:17" x14ac:dyDescent="0.25">
      <c r="A183" s="1">
        <v>133</v>
      </c>
      <c r="B183" s="47">
        <v>45719</v>
      </c>
      <c r="C183" s="66">
        <v>43242235</v>
      </c>
      <c r="D183" s="66" t="s">
        <v>169</v>
      </c>
      <c r="E183" s="176">
        <v>56.1</v>
      </c>
      <c r="F183" s="5">
        <v>13.827999999999999</v>
      </c>
      <c r="G183" s="5">
        <v>13.827999999999999</v>
      </c>
      <c r="H183" s="5">
        <f>G183-F183</f>
        <v>0</v>
      </c>
      <c r="I183" s="16">
        <f t="shared" si="21"/>
        <v>0</v>
      </c>
      <c r="J183" s="16"/>
      <c r="K183" s="16">
        <f t="shared" si="24"/>
        <v>0.19046618392713932</v>
      </c>
      <c r="L183" s="19">
        <f t="shared" si="25"/>
        <v>0.19046618392713932</v>
      </c>
      <c r="N183" s="13" t="s">
        <v>69</v>
      </c>
    </row>
    <row r="184" spans="1:17" x14ac:dyDescent="0.25">
      <c r="A184" s="1">
        <v>134</v>
      </c>
      <c r="B184" s="47">
        <v>45825</v>
      </c>
      <c r="C184" s="66">
        <v>43242250</v>
      </c>
      <c r="D184" s="66" t="s">
        <v>169</v>
      </c>
      <c r="E184" s="176">
        <v>85.2</v>
      </c>
      <c r="F184" s="5">
        <v>35.659999999999997</v>
      </c>
      <c r="G184" s="5">
        <v>36.115000000000002</v>
      </c>
      <c r="H184" s="5">
        <f>G184-F184</f>
        <v>0.4550000000000054</v>
      </c>
      <c r="I184" s="16">
        <f t="shared" si="21"/>
        <v>0.39120900000000464</v>
      </c>
      <c r="J184" s="16"/>
      <c r="K184" s="16">
        <f t="shared" si="24"/>
        <v>0.28926415099094954</v>
      </c>
      <c r="L184" s="19">
        <f t="shared" si="25"/>
        <v>0.68047315099095418</v>
      </c>
      <c r="N184" s="13" t="s">
        <v>69</v>
      </c>
    </row>
    <row r="185" spans="1:17" x14ac:dyDescent="0.25">
      <c r="A185" s="1">
        <v>135</v>
      </c>
      <c r="B185" s="47">
        <v>45941</v>
      </c>
      <c r="C185" s="66">
        <v>34242382</v>
      </c>
      <c r="D185" s="66" t="s">
        <v>169</v>
      </c>
      <c r="E185" s="176">
        <v>84.4</v>
      </c>
      <c r="F185" s="5">
        <v>73.67</v>
      </c>
      <c r="G185" s="5">
        <v>75.316000000000003</v>
      </c>
      <c r="H185" s="5">
        <f>G185-F185</f>
        <v>1.6460000000000008</v>
      </c>
      <c r="I185" s="16">
        <f t="shared" si="21"/>
        <v>1.4152308000000007</v>
      </c>
      <c r="J185" s="16"/>
      <c r="K185" s="16">
        <f t="shared" si="24"/>
        <v>0.28654805567648056</v>
      </c>
      <c r="L185" s="19">
        <f t="shared" si="25"/>
        <v>1.7017788556764812</v>
      </c>
      <c r="N185" s="13" t="s">
        <v>69</v>
      </c>
    </row>
    <row r="186" spans="1:17" x14ac:dyDescent="0.25">
      <c r="A186" s="1">
        <v>136</v>
      </c>
      <c r="B186" s="33"/>
      <c r="C186" s="66">
        <v>43242379</v>
      </c>
      <c r="D186" s="66" t="s">
        <v>54</v>
      </c>
      <c r="E186" s="176">
        <v>56.2</v>
      </c>
      <c r="F186" s="5">
        <v>44.889000000000003</v>
      </c>
      <c r="G186" s="5">
        <v>44.889000000000003</v>
      </c>
      <c r="H186" s="5"/>
      <c r="I186" s="16">
        <f t="shared" si="21"/>
        <v>0</v>
      </c>
      <c r="J186" s="16">
        <f>(((E186*0.015)*12)/7)</f>
        <v>1.4451428571428571</v>
      </c>
      <c r="K186" s="16"/>
      <c r="L186" s="19">
        <f t="shared" si="25"/>
        <v>1.4451428571428571</v>
      </c>
      <c r="N186" s="13" t="s">
        <v>71</v>
      </c>
      <c r="P186" s="12"/>
    </row>
    <row r="187" spans="1:17" x14ac:dyDescent="0.25">
      <c r="A187" s="1">
        <v>137</v>
      </c>
      <c r="B187" s="47">
        <v>45580</v>
      </c>
      <c r="C187" s="66">
        <v>43242240</v>
      </c>
      <c r="D187" s="66" t="s">
        <v>169</v>
      </c>
      <c r="E187" s="176">
        <v>55.7</v>
      </c>
      <c r="F187" s="5">
        <v>30.724</v>
      </c>
      <c r="G187" s="5">
        <v>31.625</v>
      </c>
      <c r="H187" s="5">
        <f>G187-F187</f>
        <v>0.9009999999999998</v>
      </c>
      <c r="I187" s="16">
        <f t="shared" si="21"/>
        <v>0.77467979999999981</v>
      </c>
      <c r="J187" s="16"/>
      <c r="K187" s="16">
        <f t="shared" si="24"/>
        <v>0.18910813626990483</v>
      </c>
      <c r="L187" s="19">
        <f>I187+J187+K187</f>
        <v>0.96378793626990467</v>
      </c>
      <c r="N187" s="13" t="s">
        <v>69</v>
      </c>
    </row>
    <row r="188" spans="1:17" x14ac:dyDescent="0.25">
      <c r="A188" s="1">
        <v>138</v>
      </c>
      <c r="B188" s="47">
        <v>45580</v>
      </c>
      <c r="C188" s="66">
        <v>43242241</v>
      </c>
      <c r="D188" s="66" t="s">
        <v>169</v>
      </c>
      <c r="E188" s="176">
        <v>84.3</v>
      </c>
      <c r="F188" s="5">
        <v>62.762</v>
      </c>
      <c r="G188" s="5">
        <v>64.212000000000003</v>
      </c>
      <c r="H188" s="5">
        <f>G188-F188</f>
        <v>1.4500000000000028</v>
      </c>
      <c r="I188" s="16">
        <f t="shared" si="21"/>
        <v>1.2467100000000024</v>
      </c>
      <c r="J188" s="16"/>
      <c r="K188" s="16">
        <f t="shared" si="24"/>
        <v>0.28620854376217192</v>
      </c>
      <c r="L188" s="19">
        <f t="shared" si="25"/>
        <v>1.5329185437621744</v>
      </c>
      <c r="N188" s="13" t="s">
        <v>69</v>
      </c>
    </row>
    <row r="189" spans="1:17" x14ac:dyDescent="0.25">
      <c r="A189" s="1">
        <v>139</v>
      </c>
      <c r="B189" s="47">
        <v>45725</v>
      </c>
      <c r="C189" s="66">
        <v>34242385</v>
      </c>
      <c r="D189" s="66" t="s">
        <v>169</v>
      </c>
      <c r="E189" s="176">
        <v>84</v>
      </c>
      <c r="F189" s="5">
        <v>10.63</v>
      </c>
      <c r="G189" s="5">
        <v>10.743</v>
      </c>
      <c r="H189" s="5">
        <f>G189-F189</f>
        <v>0.11299999999999955</v>
      </c>
      <c r="I189" s="16">
        <f t="shared" si="21"/>
        <v>9.7157399999999616E-2</v>
      </c>
      <c r="J189" s="16"/>
      <c r="K189" s="16">
        <f t="shared" si="24"/>
        <v>0.28519000801924604</v>
      </c>
      <c r="L189" s="19">
        <f>I189+J189+K189</f>
        <v>0.38234740801924566</v>
      </c>
      <c r="N189" s="13" t="s">
        <v>69</v>
      </c>
    </row>
    <row r="190" spans="1:17" x14ac:dyDescent="0.25">
      <c r="A190" s="1">
        <v>140</v>
      </c>
      <c r="B190" s="47">
        <v>45928</v>
      </c>
      <c r="C190" s="10" t="s">
        <v>103</v>
      </c>
      <c r="D190" s="66" t="s">
        <v>54</v>
      </c>
      <c r="E190" s="176">
        <v>55.6</v>
      </c>
      <c r="F190" s="5">
        <v>6.62</v>
      </c>
      <c r="G190" s="5">
        <v>7.4349999999999996</v>
      </c>
      <c r="H190" s="5"/>
      <c r="I190" s="16">
        <f>G190-F190</f>
        <v>0.8149999999999995</v>
      </c>
      <c r="J190" s="16"/>
      <c r="K190" s="16">
        <f t="shared" si="24"/>
        <v>0.18876862435559619</v>
      </c>
      <c r="L190" s="19">
        <f t="shared" si="25"/>
        <v>1.0037686243555957</v>
      </c>
      <c r="N190" s="13" t="s">
        <v>69</v>
      </c>
    </row>
    <row r="191" spans="1:17" x14ac:dyDescent="0.25">
      <c r="A191" s="1">
        <v>141</v>
      </c>
      <c r="B191" s="47">
        <v>46273</v>
      </c>
      <c r="C191" s="66">
        <v>34242390</v>
      </c>
      <c r="D191" s="66" t="s">
        <v>169</v>
      </c>
      <c r="E191" s="176">
        <v>56.4</v>
      </c>
      <c r="F191" s="5">
        <v>20.105</v>
      </c>
      <c r="G191" s="5">
        <v>20.715</v>
      </c>
      <c r="H191" s="5">
        <f>G191-F191</f>
        <v>0.60999999999999943</v>
      </c>
      <c r="I191" s="16">
        <f>H191*0.8598</f>
        <v>0.52447799999999956</v>
      </c>
      <c r="J191" s="16"/>
      <c r="K191" s="16">
        <f t="shared" si="24"/>
        <v>0.19148471967006517</v>
      </c>
      <c r="L191" s="19">
        <f t="shared" si="25"/>
        <v>0.71596271967006475</v>
      </c>
      <c r="N191" s="13" t="s">
        <v>69</v>
      </c>
      <c r="P191" s="12"/>
    </row>
    <row r="192" spans="1:17" x14ac:dyDescent="0.25">
      <c r="A192" s="1">
        <v>142</v>
      </c>
      <c r="B192" s="33" t="s">
        <v>147</v>
      </c>
      <c r="C192" s="10" t="s">
        <v>77</v>
      </c>
      <c r="D192" s="66" t="s">
        <v>54</v>
      </c>
      <c r="E192" s="176">
        <v>84.1</v>
      </c>
      <c r="F192" s="39">
        <v>5.1210000000000004</v>
      </c>
      <c r="G192" s="39">
        <v>5.5910000000000002</v>
      </c>
      <c r="H192" s="5"/>
      <c r="I192" s="16">
        <f>G192-F192</f>
        <v>0.46999999999999975</v>
      </c>
      <c r="J192" s="16"/>
      <c r="K192" s="16">
        <f t="shared" si="24"/>
        <v>0.28552951993355469</v>
      </c>
      <c r="L192" s="19">
        <f t="shared" si="25"/>
        <v>0.75552951993355444</v>
      </c>
      <c r="N192" s="13" t="s">
        <v>69</v>
      </c>
    </row>
    <row r="193" spans="1:17" x14ac:dyDescent="0.25">
      <c r="A193" s="1">
        <v>143</v>
      </c>
      <c r="B193" s="47">
        <v>45915</v>
      </c>
      <c r="C193" s="66">
        <v>34242383</v>
      </c>
      <c r="D193" s="66" t="s">
        <v>169</v>
      </c>
      <c r="E193" s="176">
        <v>83.5</v>
      </c>
      <c r="F193" s="5">
        <v>40.113999999999997</v>
      </c>
      <c r="G193" s="5">
        <v>41.491999999999997</v>
      </c>
      <c r="H193" s="5">
        <f>G193-F193</f>
        <v>1.3780000000000001</v>
      </c>
      <c r="I193" s="16">
        <f t="shared" ref="I193:I221" si="26">H193*0.8598</f>
        <v>1.1848044000000002</v>
      </c>
      <c r="J193" s="16"/>
      <c r="K193" s="16">
        <f t="shared" si="24"/>
        <v>0.28349244844770294</v>
      </c>
      <c r="L193" s="19">
        <f t="shared" si="25"/>
        <v>1.4682968484477033</v>
      </c>
      <c r="N193" s="13" t="s">
        <v>69</v>
      </c>
    </row>
    <row r="194" spans="1:17" x14ac:dyDescent="0.25">
      <c r="A194" s="1">
        <v>144</v>
      </c>
      <c r="B194" s="34"/>
      <c r="C194" s="66">
        <v>34242379</v>
      </c>
      <c r="D194" s="66" t="s">
        <v>54</v>
      </c>
      <c r="E194" s="176">
        <v>56.3</v>
      </c>
      <c r="F194" s="5">
        <v>25.481000000000002</v>
      </c>
      <c r="G194" s="5">
        <v>25.853000000000002</v>
      </c>
      <c r="H194" s="5"/>
      <c r="I194" s="16">
        <f t="shared" si="26"/>
        <v>0</v>
      </c>
      <c r="J194" s="16">
        <f>(((E194*0.015)*12)/7)</f>
        <v>1.4477142857142855</v>
      </c>
      <c r="K194" s="16"/>
      <c r="L194" s="19">
        <f t="shared" si="25"/>
        <v>1.4477142857142855</v>
      </c>
      <c r="N194" s="13" t="s">
        <v>71</v>
      </c>
      <c r="P194" s="12"/>
    </row>
    <row r="195" spans="1:17" x14ac:dyDescent="0.25">
      <c r="A195" s="1">
        <v>145</v>
      </c>
      <c r="B195" s="47">
        <v>45829</v>
      </c>
      <c r="C195" s="66">
        <v>34242386</v>
      </c>
      <c r="D195" s="66" t="s">
        <v>169</v>
      </c>
      <c r="E195" s="176">
        <v>56.6</v>
      </c>
      <c r="F195" s="5">
        <v>21.838999999999999</v>
      </c>
      <c r="G195" s="5">
        <v>22.36</v>
      </c>
      <c r="H195" s="5">
        <f>G195-F195</f>
        <v>0.5210000000000008</v>
      </c>
      <c r="I195" s="16">
        <f t="shared" si="26"/>
        <v>0.44795580000000068</v>
      </c>
      <c r="J195" s="16"/>
      <c r="K195" s="16">
        <f t="shared" si="24"/>
        <v>0.19216374349868243</v>
      </c>
      <c r="L195" s="19">
        <f t="shared" si="25"/>
        <v>0.64011954349868305</v>
      </c>
      <c r="N195" s="13" t="s">
        <v>69</v>
      </c>
    </row>
    <row r="196" spans="1:17" x14ac:dyDescent="0.25">
      <c r="A196" s="1">
        <v>146</v>
      </c>
      <c r="B196" s="47">
        <v>45829</v>
      </c>
      <c r="C196" s="66">
        <v>34242384</v>
      </c>
      <c r="D196" s="66" t="s">
        <v>169</v>
      </c>
      <c r="E196" s="176">
        <v>84.3</v>
      </c>
      <c r="F196" s="5">
        <v>25.785</v>
      </c>
      <c r="G196" s="5">
        <v>26.408999999999999</v>
      </c>
      <c r="H196" s="5">
        <f>G196-F196</f>
        <v>0.62399999999999878</v>
      </c>
      <c r="I196" s="16">
        <f t="shared" si="26"/>
        <v>0.53651519999999897</v>
      </c>
      <c r="J196" s="16"/>
      <c r="K196" s="16">
        <f t="shared" si="24"/>
        <v>0.28620854376217192</v>
      </c>
      <c r="L196" s="19">
        <f t="shared" si="25"/>
        <v>0.82272374376217083</v>
      </c>
      <c r="N196" s="13" t="s">
        <v>69</v>
      </c>
    </row>
    <row r="197" spans="1:17" x14ac:dyDescent="0.25">
      <c r="A197" s="1">
        <v>147</v>
      </c>
      <c r="B197" s="47">
        <v>45753</v>
      </c>
      <c r="C197" s="66">
        <v>34242301</v>
      </c>
      <c r="D197" s="66" t="s">
        <v>169</v>
      </c>
      <c r="E197" s="176">
        <v>84.7</v>
      </c>
      <c r="F197" s="5">
        <v>38.497999999999998</v>
      </c>
      <c r="G197" s="5">
        <v>39.576999999999998</v>
      </c>
      <c r="H197" s="5">
        <f>G197-F197</f>
        <v>1.0790000000000006</v>
      </c>
      <c r="I197" s="16">
        <f t="shared" si="26"/>
        <v>0.92772420000000055</v>
      </c>
      <c r="J197" s="16"/>
      <c r="K197" s="16">
        <f t="shared" si="24"/>
        <v>0.28756659141940644</v>
      </c>
      <c r="L197" s="19">
        <f t="shared" si="25"/>
        <v>1.2152907914194069</v>
      </c>
      <c r="N197" s="13" t="s">
        <v>69</v>
      </c>
    </row>
    <row r="198" spans="1:17" x14ac:dyDescent="0.25">
      <c r="A198" s="1">
        <v>148</v>
      </c>
      <c r="B198" s="47">
        <v>45899</v>
      </c>
      <c r="C198" s="66">
        <v>34242298</v>
      </c>
      <c r="D198" s="66" t="s">
        <v>169</v>
      </c>
      <c r="E198" s="176">
        <v>56.4</v>
      </c>
      <c r="F198" s="5">
        <v>28.312999999999999</v>
      </c>
      <c r="G198" s="5">
        <v>29.216999999999999</v>
      </c>
      <c r="H198" s="5">
        <f>G198-F198</f>
        <v>0.90399999999999991</v>
      </c>
      <c r="I198" s="16">
        <f t="shared" si="26"/>
        <v>0.77725919999999993</v>
      </c>
      <c r="J198" s="16"/>
      <c r="K198" s="16">
        <f t="shared" si="24"/>
        <v>0.19148471967006517</v>
      </c>
      <c r="L198" s="19">
        <f t="shared" si="25"/>
        <v>0.96874391967006512</v>
      </c>
      <c r="N198" s="13" t="s">
        <v>69</v>
      </c>
    </row>
    <row r="199" spans="1:17" x14ac:dyDescent="0.25">
      <c r="A199" s="1">
        <v>149</v>
      </c>
      <c r="B199" s="33"/>
      <c r="C199" s="66">
        <v>34242302</v>
      </c>
      <c r="D199" s="66" t="s">
        <v>54</v>
      </c>
      <c r="E199" s="176">
        <v>56.7</v>
      </c>
      <c r="F199" s="5">
        <v>28.800999999999998</v>
      </c>
      <c r="G199" s="5">
        <v>29.527999999999999</v>
      </c>
      <c r="H199" s="5"/>
      <c r="I199" s="16">
        <f t="shared" si="26"/>
        <v>0</v>
      </c>
      <c r="J199" s="16">
        <f>(((E199*0.015)*12)/7)</f>
        <v>1.458</v>
      </c>
      <c r="K199" s="16"/>
      <c r="L199" s="19">
        <f t="shared" si="25"/>
        <v>1.458</v>
      </c>
      <c r="N199" s="13" t="s">
        <v>71</v>
      </c>
      <c r="P199" s="12"/>
    </row>
    <row r="200" spans="1:17" x14ac:dyDescent="0.25">
      <c r="A200" s="1">
        <v>150</v>
      </c>
      <c r="B200" s="47">
        <v>45873</v>
      </c>
      <c r="C200" s="66">
        <v>34242299</v>
      </c>
      <c r="D200" s="66" t="s">
        <v>169</v>
      </c>
      <c r="E200" s="176">
        <v>84.6</v>
      </c>
      <c r="F200" s="5">
        <v>21.268000000000001</v>
      </c>
      <c r="G200" s="5">
        <v>21.268000000000001</v>
      </c>
      <c r="H200" s="5">
        <f>G200-F200</f>
        <v>0</v>
      </c>
      <c r="I200" s="16">
        <f t="shared" si="26"/>
        <v>0</v>
      </c>
      <c r="J200" s="16"/>
      <c r="K200" s="16">
        <f t="shared" si="24"/>
        <v>0.28722707950509779</v>
      </c>
      <c r="L200" s="19">
        <f t="shared" si="25"/>
        <v>0.28722707950509779</v>
      </c>
      <c r="N200" s="13" t="s">
        <v>69</v>
      </c>
    </row>
    <row r="201" spans="1:17" x14ac:dyDescent="0.25">
      <c r="A201" s="1">
        <v>151</v>
      </c>
      <c r="B201" s="47">
        <v>45937</v>
      </c>
      <c r="C201" s="66">
        <v>34242300</v>
      </c>
      <c r="D201" s="66" t="s">
        <v>169</v>
      </c>
      <c r="E201" s="176">
        <v>84.6</v>
      </c>
      <c r="F201" s="5">
        <v>35.524000000000001</v>
      </c>
      <c r="G201" s="5">
        <v>36.380000000000003</v>
      </c>
      <c r="H201" s="5">
        <f>G201-F201</f>
        <v>0.85600000000000165</v>
      </c>
      <c r="I201" s="16">
        <f t="shared" si="26"/>
        <v>0.73598880000000144</v>
      </c>
      <c r="J201" s="16"/>
      <c r="K201" s="16">
        <f t="shared" si="24"/>
        <v>0.28722707950509779</v>
      </c>
      <c r="L201" s="19">
        <f t="shared" si="25"/>
        <v>1.0232158795050992</v>
      </c>
      <c r="N201" s="13" t="s">
        <v>69</v>
      </c>
    </row>
    <row r="202" spans="1:17" x14ac:dyDescent="0.25">
      <c r="A202" s="1">
        <v>152</v>
      </c>
      <c r="B202" s="47">
        <v>45593</v>
      </c>
      <c r="C202" s="10" t="s">
        <v>94</v>
      </c>
      <c r="D202" s="66" t="s">
        <v>54</v>
      </c>
      <c r="E202" s="176">
        <v>56.3</v>
      </c>
      <c r="F202" s="39">
        <v>0.54800000000000004</v>
      </c>
      <c r="G202" s="39">
        <v>0.60399999999999998</v>
      </c>
      <c r="H202" s="5"/>
      <c r="I202" s="16">
        <f>G202-F202</f>
        <v>5.5999999999999939E-2</v>
      </c>
      <c r="J202" s="16"/>
      <c r="K202" s="16">
        <f t="shared" si="24"/>
        <v>0.19114520775575658</v>
      </c>
      <c r="L202" s="19">
        <f>I202+J202+K202</f>
        <v>0.24714520775575652</v>
      </c>
      <c r="N202" s="13" t="s">
        <v>69</v>
      </c>
    </row>
    <row r="203" spans="1:17" x14ac:dyDescent="0.25">
      <c r="A203" s="1">
        <v>153</v>
      </c>
      <c r="B203" s="47">
        <v>45594</v>
      </c>
      <c r="C203" s="10" t="s">
        <v>92</v>
      </c>
      <c r="D203" s="66" t="s">
        <v>54</v>
      </c>
      <c r="E203" s="176">
        <v>56.9</v>
      </c>
      <c r="F203" s="39">
        <v>1.2769999999999999</v>
      </c>
      <c r="G203" s="39">
        <v>2.0379999999999998</v>
      </c>
      <c r="H203" s="5"/>
      <c r="I203" s="16">
        <f>G203-F203</f>
        <v>0.7609999999999999</v>
      </c>
      <c r="J203" s="16"/>
      <c r="K203" s="16">
        <f t="shared" si="24"/>
        <v>0.1931822792416083</v>
      </c>
      <c r="L203" s="19">
        <f t="shared" si="25"/>
        <v>0.95418227924160814</v>
      </c>
      <c r="N203" s="13" t="s">
        <v>69</v>
      </c>
    </row>
    <row r="204" spans="1:17" x14ac:dyDescent="0.25">
      <c r="A204" s="1">
        <v>154</v>
      </c>
      <c r="B204" s="47">
        <v>46000</v>
      </c>
      <c r="C204" s="66">
        <v>34242305</v>
      </c>
      <c r="D204" s="66" t="s">
        <v>169</v>
      </c>
      <c r="E204" s="176">
        <v>85.7</v>
      </c>
      <c r="F204" s="5">
        <v>32.268999999999998</v>
      </c>
      <c r="G204" s="5">
        <v>33.677999999999997</v>
      </c>
      <c r="H204" s="5">
        <f>G204-F204</f>
        <v>1.4089999999999989</v>
      </c>
      <c r="I204" s="16">
        <f t="shared" si="26"/>
        <v>1.2114581999999992</v>
      </c>
      <c r="J204" s="16"/>
      <c r="K204" s="16">
        <f t="shared" si="24"/>
        <v>0.2909617105624927</v>
      </c>
      <c r="L204" s="19">
        <f t="shared" si="25"/>
        <v>1.5024199105624918</v>
      </c>
      <c r="N204" s="13" t="s">
        <v>69</v>
      </c>
      <c r="P204" s="12"/>
      <c r="Q204" s="12"/>
    </row>
    <row r="205" spans="1:17" x14ac:dyDescent="0.25">
      <c r="A205" s="1">
        <v>155</v>
      </c>
      <c r="B205" s="47">
        <v>46155</v>
      </c>
      <c r="C205" s="66" t="s">
        <v>148</v>
      </c>
      <c r="D205" s="66" t="s">
        <v>54</v>
      </c>
      <c r="E205" s="176">
        <v>84.9</v>
      </c>
      <c r="F205" s="5">
        <v>0.53500000000000003</v>
      </c>
      <c r="G205" s="5">
        <v>0.97299999999999998</v>
      </c>
      <c r="H205" s="5"/>
      <c r="I205" s="16">
        <f>G205-F205</f>
        <v>0.43799999999999994</v>
      </c>
      <c r="J205" s="16"/>
      <c r="K205" s="16">
        <f t="shared" si="24"/>
        <v>0.28824561524802372</v>
      </c>
      <c r="L205" s="19">
        <f t="shared" si="25"/>
        <v>0.72624561524802367</v>
      </c>
      <c r="N205" s="13" t="s">
        <v>69</v>
      </c>
    </row>
    <row r="206" spans="1:17" x14ac:dyDescent="0.25">
      <c r="A206" s="1">
        <v>156</v>
      </c>
      <c r="B206" s="47">
        <v>46045</v>
      </c>
      <c r="C206" s="66">
        <v>34242320</v>
      </c>
      <c r="D206" s="66" t="s">
        <v>169</v>
      </c>
      <c r="E206" s="176">
        <v>56.8</v>
      </c>
      <c r="F206" s="5">
        <v>43.579000000000001</v>
      </c>
      <c r="G206" s="5">
        <v>44.348999999999997</v>
      </c>
      <c r="H206" s="5">
        <f t="shared" ref="H206:H211" si="27">G206-F206</f>
        <v>0.76999999999999602</v>
      </c>
      <c r="I206" s="16">
        <f t="shared" si="26"/>
        <v>0.66204599999999658</v>
      </c>
      <c r="J206" s="16"/>
      <c r="K206" s="16">
        <f t="shared" si="24"/>
        <v>0.19284276732729969</v>
      </c>
      <c r="L206" s="19">
        <f t="shared" si="25"/>
        <v>0.85488876732729624</v>
      </c>
      <c r="N206" s="13" t="s">
        <v>69</v>
      </c>
    </row>
    <row r="207" spans="1:17" x14ac:dyDescent="0.25">
      <c r="A207" s="1">
        <v>157</v>
      </c>
      <c r="B207" s="47">
        <v>45934</v>
      </c>
      <c r="C207" s="66">
        <v>34242321</v>
      </c>
      <c r="D207" s="66" t="s">
        <v>169</v>
      </c>
      <c r="E207" s="176">
        <v>57.1</v>
      </c>
      <c r="F207" s="5">
        <v>43.15</v>
      </c>
      <c r="G207" s="5">
        <v>44.155000000000001</v>
      </c>
      <c r="H207" s="5">
        <f t="shared" si="27"/>
        <v>1.0050000000000026</v>
      </c>
      <c r="I207" s="16">
        <f t="shared" si="26"/>
        <v>0.86409900000000217</v>
      </c>
      <c r="J207" s="16"/>
      <c r="K207" s="16">
        <f t="shared" si="24"/>
        <v>0.19386130307022562</v>
      </c>
      <c r="L207" s="19">
        <f t="shared" si="25"/>
        <v>1.0579603030702278</v>
      </c>
      <c r="N207" s="13" t="s">
        <v>69</v>
      </c>
    </row>
    <row r="208" spans="1:17" x14ac:dyDescent="0.25">
      <c r="A208" s="1">
        <v>158</v>
      </c>
      <c r="B208" s="47">
        <v>46279</v>
      </c>
      <c r="C208" s="66">
        <v>34242304</v>
      </c>
      <c r="D208" s="66" t="s">
        <v>169</v>
      </c>
      <c r="E208" s="176">
        <v>85.5</v>
      </c>
      <c r="F208" s="5">
        <v>50.546999999999997</v>
      </c>
      <c r="G208" s="5">
        <v>51.551000000000002</v>
      </c>
      <c r="H208" s="5">
        <f t="shared" si="27"/>
        <v>1.0040000000000049</v>
      </c>
      <c r="I208" s="16">
        <f t="shared" si="26"/>
        <v>0.8632392000000042</v>
      </c>
      <c r="J208" s="16"/>
      <c r="K208" s="16">
        <f t="shared" si="24"/>
        <v>0.29028268673387542</v>
      </c>
      <c r="L208" s="19">
        <f t="shared" si="25"/>
        <v>1.1535218867338797</v>
      </c>
      <c r="N208" s="13" t="s">
        <v>69</v>
      </c>
      <c r="P208" s="12"/>
    </row>
    <row r="209" spans="1:16" x14ac:dyDescent="0.25">
      <c r="A209" s="1">
        <v>159</v>
      </c>
      <c r="B209" s="47">
        <v>45907</v>
      </c>
      <c r="C209" s="66">
        <v>34242308</v>
      </c>
      <c r="D209" s="66" t="s">
        <v>169</v>
      </c>
      <c r="E209" s="176">
        <v>84.6</v>
      </c>
      <c r="F209" s="74">
        <v>47.005000000000003</v>
      </c>
      <c r="G209" s="74">
        <v>48.084000000000003</v>
      </c>
      <c r="H209" s="5">
        <f t="shared" si="27"/>
        <v>1.0790000000000006</v>
      </c>
      <c r="I209" s="16">
        <f t="shared" si="26"/>
        <v>0.92772420000000055</v>
      </c>
      <c r="J209" s="16"/>
      <c r="K209" s="16">
        <f t="shared" si="24"/>
        <v>0.28722707950509779</v>
      </c>
      <c r="L209" s="19">
        <f t="shared" si="25"/>
        <v>1.2149512795050983</v>
      </c>
      <c r="N209" s="13" t="s">
        <v>69</v>
      </c>
    </row>
    <row r="210" spans="1:16" x14ac:dyDescent="0.25">
      <c r="A210" s="1">
        <v>160</v>
      </c>
      <c r="B210" s="47">
        <v>45753</v>
      </c>
      <c r="C210" s="66">
        <v>34242307</v>
      </c>
      <c r="D210" s="66" t="s">
        <v>169</v>
      </c>
      <c r="E210" s="176">
        <v>56.3</v>
      </c>
      <c r="F210" s="5">
        <v>6.6449999999999996</v>
      </c>
      <c r="G210" s="5">
        <v>7.0369999999999999</v>
      </c>
      <c r="H210" s="5">
        <f t="shared" si="27"/>
        <v>0.39200000000000035</v>
      </c>
      <c r="I210" s="16">
        <f t="shared" si="26"/>
        <v>0.33704160000000033</v>
      </c>
      <c r="J210" s="16"/>
      <c r="K210" s="16">
        <f t="shared" si="24"/>
        <v>0.19114520775575658</v>
      </c>
      <c r="L210" s="19">
        <f t="shared" si="25"/>
        <v>0.52818680775575688</v>
      </c>
      <c r="N210" s="13" t="s">
        <v>69</v>
      </c>
    </row>
    <row r="211" spans="1:16" x14ac:dyDescent="0.25">
      <c r="A211" s="1">
        <v>161</v>
      </c>
      <c r="B211" s="47">
        <v>45934</v>
      </c>
      <c r="C211" s="66">
        <v>34242312</v>
      </c>
      <c r="D211" s="66" t="s">
        <v>169</v>
      </c>
      <c r="E211" s="176">
        <v>56.8</v>
      </c>
      <c r="F211" s="5">
        <v>10.773999999999999</v>
      </c>
      <c r="G211" s="5">
        <v>10.952</v>
      </c>
      <c r="H211" s="5">
        <f t="shared" si="27"/>
        <v>0.17800000000000082</v>
      </c>
      <c r="I211" s="16">
        <f t="shared" si="26"/>
        <v>0.15304440000000072</v>
      </c>
      <c r="J211" s="16"/>
      <c r="K211" s="16">
        <f t="shared" si="24"/>
        <v>0.19284276732729969</v>
      </c>
      <c r="L211" s="19">
        <f t="shared" si="25"/>
        <v>0.3458871673273004</v>
      </c>
      <c r="N211" s="13" t="s">
        <v>69</v>
      </c>
    </row>
    <row r="212" spans="1:16" x14ac:dyDescent="0.25">
      <c r="A212" s="1">
        <v>162</v>
      </c>
      <c r="B212" s="47">
        <v>47017</v>
      </c>
      <c r="C212" s="66" t="s">
        <v>157</v>
      </c>
      <c r="D212" s="66" t="s">
        <v>54</v>
      </c>
      <c r="E212" s="176">
        <v>85.2</v>
      </c>
      <c r="F212" s="5">
        <v>0.878</v>
      </c>
      <c r="G212" s="5">
        <v>1.8859999999999999</v>
      </c>
      <c r="H212" s="5"/>
      <c r="I212" s="16">
        <f>G212-F212</f>
        <v>1.008</v>
      </c>
      <c r="J212" s="16"/>
      <c r="K212" s="16">
        <f t="shared" si="24"/>
        <v>0.28926415099094954</v>
      </c>
      <c r="L212" s="19">
        <f t="shared" si="25"/>
        <v>1.2972641509909495</v>
      </c>
      <c r="N212" s="13" t="s">
        <v>69</v>
      </c>
      <c r="P212" s="12"/>
    </row>
    <row r="213" spans="1:16" x14ac:dyDescent="0.25">
      <c r="A213" s="1">
        <v>163</v>
      </c>
      <c r="B213" s="47">
        <v>45704</v>
      </c>
      <c r="C213" s="66">
        <v>34242188</v>
      </c>
      <c r="D213" s="66" t="s">
        <v>169</v>
      </c>
      <c r="E213" s="176">
        <v>84.4</v>
      </c>
      <c r="F213" s="5">
        <v>5.327</v>
      </c>
      <c r="G213" s="5">
        <v>5.327</v>
      </c>
      <c r="H213" s="5">
        <f>G213-F213</f>
        <v>0</v>
      </c>
      <c r="I213" s="16">
        <f>H213*0.8598</f>
        <v>0</v>
      </c>
      <c r="J213" s="16"/>
      <c r="K213" s="16">
        <f t="shared" si="24"/>
        <v>0.28654805567648056</v>
      </c>
      <c r="L213" s="19">
        <f t="shared" si="25"/>
        <v>0.28654805567648056</v>
      </c>
      <c r="N213" s="13" t="s">
        <v>69</v>
      </c>
    </row>
    <row r="214" spans="1:16" x14ac:dyDescent="0.25">
      <c r="A214" s="1">
        <v>164</v>
      </c>
      <c r="B214" s="47">
        <v>45748</v>
      </c>
      <c r="C214" s="66">
        <v>34242185</v>
      </c>
      <c r="D214" s="66" t="s">
        <v>169</v>
      </c>
      <c r="E214" s="176">
        <v>55.9</v>
      </c>
      <c r="F214" s="5">
        <v>23.771000000000001</v>
      </c>
      <c r="G214" s="5">
        <v>24.526</v>
      </c>
      <c r="H214" s="5">
        <f>G214-F214</f>
        <v>0.75499999999999901</v>
      </c>
      <c r="I214" s="16">
        <f>H214*0.8598</f>
        <v>0.6491489999999992</v>
      </c>
      <c r="J214" s="16"/>
      <c r="K214" s="16">
        <f t="shared" si="24"/>
        <v>0.18978716009852206</v>
      </c>
      <c r="L214" s="19">
        <f>I214+J214+K214</f>
        <v>0.83893616009852123</v>
      </c>
      <c r="N214" s="13" t="s">
        <v>69</v>
      </c>
    </row>
    <row r="215" spans="1:16" x14ac:dyDescent="0.25">
      <c r="A215" s="1">
        <v>165</v>
      </c>
      <c r="B215" s="47">
        <v>45748</v>
      </c>
      <c r="C215" s="66">
        <v>43441088</v>
      </c>
      <c r="D215" s="66" t="s">
        <v>169</v>
      </c>
      <c r="E215" s="176">
        <v>56.7</v>
      </c>
      <c r="F215" s="5">
        <v>23.777000000000001</v>
      </c>
      <c r="G215" s="5">
        <v>23.991</v>
      </c>
      <c r="H215" s="5">
        <f>G215-F215</f>
        <v>0.21399999999999864</v>
      </c>
      <c r="I215" s="16">
        <f t="shared" si="26"/>
        <v>0.18399719999999883</v>
      </c>
      <c r="J215" s="16"/>
      <c r="K215" s="16">
        <f t="shared" si="24"/>
        <v>0.1925032554129911</v>
      </c>
      <c r="L215" s="19">
        <f t="shared" si="25"/>
        <v>0.37650045541298993</v>
      </c>
      <c r="N215" s="13" t="s">
        <v>69</v>
      </c>
    </row>
    <row r="216" spans="1:16" x14ac:dyDescent="0.25">
      <c r="A216" s="1">
        <v>166</v>
      </c>
      <c r="B216" s="47">
        <v>45795</v>
      </c>
      <c r="C216" s="66">
        <v>34242310</v>
      </c>
      <c r="D216" s="66" t="s">
        <v>169</v>
      </c>
      <c r="E216" s="176">
        <v>85.2</v>
      </c>
      <c r="F216" s="5">
        <v>37.4</v>
      </c>
      <c r="G216" s="5">
        <v>37.948</v>
      </c>
      <c r="H216" s="5">
        <f>G216-F216</f>
        <v>0.54800000000000182</v>
      </c>
      <c r="I216" s="16">
        <f>H216*0.8598</f>
        <v>0.47117040000000154</v>
      </c>
      <c r="J216" s="16"/>
      <c r="K216" s="16">
        <f t="shared" si="24"/>
        <v>0.28926415099094954</v>
      </c>
      <c r="L216" s="19">
        <f t="shared" si="25"/>
        <v>0.76043455099095114</v>
      </c>
      <c r="N216" s="13" t="s">
        <v>69</v>
      </c>
    </row>
    <row r="217" spans="1:16" x14ac:dyDescent="0.25">
      <c r="A217" s="1">
        <v>167</v>
      </c>
      <c r="B217" s="33"/>
      <c r="C217" s="66">
        <v>34242187</v>
      </c>
      <c r="D217" s="66" t="s">
        <v>54</v>
      </c>
      <c r="E217" s="176">
        <v>84.9</v>
      </c>
      <c r="F217" s="5">
        <v>64.218000000000004</v>
      </c>
      <c r="G217" s="5">
        <v>66.186999999999998</v>
      </c>
      <c r="H217" s="5"/>
      <c r="I217" s="16">
        <f t="shared" si="26"/>
        <v>0</v>
      </c>
      <c r="J217" s="16">
        <f t="shared" ref="J217:J218" si="28">(((E217*0.015)*12)/7)</f>
        <v>2.1831428571428573</v>
      </c>
      <c r="K217" s="16"/>
      <c r="L217" s="19">
        <f t="shared" si="25"/>
        <v>2.1831428571428573</v>
      </c>
      <c r="N217" s="13" t="s">
        <v>71</v>
      </c>
      <c r="P217" s="12"/>
    </row>
    <row r="218" spans="1:16" x14ac:dyDescent="0.25">
      <c r="A218" s="1">
        <v>168</v>
      </c>
      <c r="B218" s="33"/>
      <c r="C218" s="66">
        <v>34242189</v>
      </c>
      <c r="D218" s="66" t="s">
        <v>54</v>
      </c>
      <c r="E218" s="176">
        <v>56.4</v>
      </c>
      <c r="F218" s="5">
        <v>5.01</v>
      </c>
      <c r="G218" s="5">
        <v>5.01</v>
      </c>
      <c r="H218" s="5"/>
      <c r="I218" s="16">
        <f t="shared" si="26"/>
        <v>0</v>
      </c>
      <c r="J218" s="16">
        <f t="shared" si="28"/>
        <v>1.4502857142857142</v>
      </c>
      <c r="K218" s="16"/>
      <c r="L218" s="19">
        <f t="shared" si="25"/>
        <v>1.4502857142857142</v>
      </c>
      <c r="N218" s="13" t="s">
        <v>71</v>
      </c>
      <c r="P218" s="12"/>
    </row>
    <row r="219" spans="1:16" x14ac:dyDescent="0.25">
      <c r="A219" s="1">
        <v>169</v>
      </c>
      <c r="B219" s="47">
        <v>46000</v>
      </c>
      <c r="C219" s="66">
        <v>34242191</v>
      </c>
      <c r="D219" s="66" t="s">
        <v>169</v>
      </c>
      <c r="E219" s="176">
        <v>57</v>
      </c>
      <c r="F219" s="5">
        <v>28.567</v>
      </c>
      <c r="G219" s="5">
        <v>29.550999999999998</v>
      </c>
      <c r="H219" s="5">
        <f>G219-F219</f>
        <v>0.98399999999999821</v>
      </c>
      <c r="I219" s="16">
        <f t="shared" si="26"/>
        <v>0.84604319999999844</v>
      </c>
      <c r="J219" s="16"/>
      <c r="K219" s="16">
        <f t="shared" ref="K219:K222" si="29">E219/($F$25-$F$26)*$K$24</f>
        <v>0.19352179115591694</v>
      </c>
      <c r="L219" s="19">
        <f t="shared" si="25"/>
        <v>1.0395649911559155</v>
      </c>
      <c r="N219" s="13" t="s">
        <v>69</v>
      </c>
      <c r="P219" s="12"/>
    </row>
    <row r="220" spans="1:16" x14ac:dyDescent="0.25">
      <c r="A220" s="1">
        <v>170</v>
      </c>
      <c r="B220" s="47">
        <v>45608</v>
      </c>
      <c r="C220" s="66">
        <v>34242190</v>
      </c>
      <c r="D220" s="66" t="s">
        <v>169</v>
      </c>
      <c r="E220" s="176">
        <v>85.3</v>
      </c>
      <c r="F220" s="5">
        <v>45.627000000000002</v>
      </c>
      <c r="G220" s="5">
        <v>46.88</v>
      </c>
      <c r="H220" s="5">
        <f>G220-F220</f>
        <v>1.2530000000000001</v>
      </c>
      <c r="I220" s="16">
        <f t="shared" si="26"/>
        <v>1.0773294000000002</v>
      </c>
      <c r="J220" s="16"/>
      <c r="K220" s="16">
        <f t="shared" si="29"/>
        <v>0.28960366290525819</v>
      </c>
      <c r="L220" s="19">
        <f t="shared" si="25"/>
        <v>1.3669330629052583</v>
      </c>
      <c r="N220" s="13" t="s">
        <v>69</v>
      </c>
    </row>
    <row r="221" spans="1:16" x14ac:dyDescent="0.25">
      <c r="A221" s="1">
        <v>171</v>
      </c>
      <c r="B221" s="47">
        <v>45866</v>
      </c>
      <c r="C221" s="66">
        <v>34242184</v>
      </c>
      <c r="D221" s="66" t="s">
        <v>169</v>
      </c>
      <c r="E221" s="176">
        <v>84.3</v>
      </c>
      <c r="F221" s="5">
        <v>7.931</v>
      </c>
      <c r="G221" s="5">
        <v>7.931</v>
      </c>
      <c r="H221" s="5">
        <f>G221-F221</f>
        <v>0</v>
      </c>
      <c r="I221" s="16">
        <f t="shared" si="26"/>
        <v>0</v>
      </c>
      <c r="J221" s="16"/>
      <c r="K221" s="16">
        <f t="shared" si="29"/>
        <v>0.28620854376217192</v>
      </c>
      <c r="L221" s="19">
        <f t="shared" si="25"/>
        <v>0.28620854376217192</v>
      </c>
      <c r="N221" s="13" t="s">
        <v>69</v>
      </c>
    </row>
    <row r="222" spans="1:16" x14ac:dyDescent="0.25">
      <c r="A222" s="1">
        <v>172</v>
      </c>
      <c r="B222" s="47">
        <v>45553</v>
      </c>
      <c r="C222" s="10" t="s">
        <v>88</v>
      </c>
      <c r="D222" s="66" t="s">
        <v>54</v>
      </c>
      <c r="E222" s="176">
        <v>56.4</v>
      </c>
      <c r="F222" s="39">
        <v>1.6180000000000001</v>
      </c>
      <c r="G222" s="39">
        <v>1.8779999999999999</v>
      </c>
      <c r="H222" s="5"/>
      <c r="I222" s="16">
        <f>G222-F222</f>
        <v>0.25999999999999979</v>
      </c>
      <c r="J222" s="16"/>
      <c r="K222" s="16">
        <f t="shared" si="29"/>
        <v>0.19148471967006517</v>
      </c>
      <c r="L222" s="19">
        <f t="shared" si="25"/>
        <v>0.45148471967006498</v>
      </c>
      <c r="N222" s="13" t="s">
        <v>69</v>
      </c>
    </row>
    <row r="223" spans="1:16" x14ac:dyDescent="0.25">
      <c r="A223" s="1">
        <v>173</v>
      </c>
      <c r="B223" s="33"/>
      <c r="C223" s="66">
        <v>34242186</v>
      </c>
      <c r="D223" s="66" t="s">
        <v>54</v>
      </c>
      <c r="E223" s="176">
        <v>56.9</v>
      </c>
      <c r="F223" s="5">
        <v>32.655999999999999</v>
      </c>
      <c r="G223" s="5">
        <v>33.561999999999998</v>
      </c>
      <c r="H223" s="5"/>
      <c r="I223" s="16">
        <f t="shared" ref="I223:I249" si="30">H223*0.8598</f>
        <v>0</v>
      </c>
      <c r="J223" s="16">
        <f>(((E223*0.015)*12)/7)</f>
        <v>1.4631428571428571</v>
      </c>
      <c r="K223" s="16"/>
      <c r="L223" s="19">
        <f t="shared" si="25"/>
        <v>1.4631428571428571</v>
      </c>
      <c r="N223" s="13" t="s">
        <v>71</v>
      </c>
    </row>
    <row r="224" spans="1:16" x14ac:dyDescent="0.25">
      <c r="A224" s="1">
        <v>174</v>
      </c>
      <c r="B224" s="47">
        <v>45671</v>
      </c>
      <c r="C224" s="66">
        <v>34242183</v>
      </c>
      <c r="D224" s="66" t="s">
        <v>169</v>
      </c>
      <c r="E224" s="176">
        <v>85.9</v>
      </c>
      <c r="F224" s="5">
        <v>37.584000000000003</v>
      </c>
      <c r="G224" s="5">
        <v>38.286999999999999</v>
      </c>
      <c r="H224" s="5">
        <f t="shared" ref="H224:H229" si="31">G224-F224</f>
        <v>0.70299999999999585</v>
      </c>
      <c r="I224" s="16">
        <f t="shared" si="30"/>
        <v>0.60443939999999641</v>
      </c>
      <c r="J224" s="16"/>
      <c r="K224" s="16">
        <f t="shared" ref="K224:K228" si="32">E224/($F$25-$F$26)*$K$24</f>
        <v>0.29164073439110993</v>
      </c>
      <c r="L224" s="19">
        <f t="shared" si="25"/>
        <v>0.89608013439110634</v>
      </c>
      <c r="N224" s="13" t="s">
        <v>69</v>
      </c>
    </row>
    <row r="225" spans="1:16" x14ac:dyDescent="0.25">
      <c r="A225" s="1">
        <v>175</v>
      </c>
      <c r="B225" s="47">
        <v>45940</v>
      </c>
      <c r="C225" s="66">
        <v>34242196</v>
      </c>
      <c r="D225" s="66" t="s">
        <v>169</v>
      </c>
      <c r="E225" s="176">
        <v>84.5</v>
      </c>
      <c r="F225" s="5">
        <v>37.57</v>
      </c>
      <c r="G225" s="5">
        <v>37.57</v>
      </c>
      <c r="H225" s="5">
        <f t="shared" si="31"/>
        <v>0</v>
      </c>
      <c r="I225" s="16">
        <f t="shared" si="30"/>
        <v>0</v>
      </c>
      <c r="J225" s="16"/>
      <c r="K225" s="16">
        <f t="shared" si="32"/>
        <v>0.28688756759078921</v>
      </c>
      <c r="L225" s="19">
        <f t="shared" si="25"/>
        <v>0.28688756759078921</v>
      </c>
      <c r="N225" s="13" t="s">
        <v>69</v>
      </c>
    </row>
    <row r="226" spans="1:16" x14ac:dyDescent="0.25">
      <c r="A226" s="1">
        <v>176</v>
      </c>
      <c r="B226" s="47">
        <v>45748</v>
      </c>
      <c r="C226" s="66">
        <v>34242199</v>
      </c>
      <c r="D226" s="66" t="s">
        <v>169</v>
      </c>
      <c r="E226" s="176">
        <v>56.5</v>
      </c>
      <c r="F226" s="5">
        <v>20.129000000000001</v>
      </c>
      <c r="G226" s="5">
        <v>20.129000000000001</v>
      </c>
      <c r="H226" s="5">
        <f t="shared" si="31"/>
        <v>0</v>
      </c>
      <c r="I226" s="16">
        <f t="shared" si="30"/>
        <v>0</v>
      </c>
      <c r="J226" s="16"/>
      <c r="K226" s="16">
        <f t="shared" si="32"/>
        <v>0.19182423158437384</v>
      </c>
      <c r="L226" s="19">
        <f t="shared" si="25"/>
        <v>0.19182423158437384</v>
      </c>
      <c r="N226" s="13" t="s">
        <v>69</v>
      </c>
    </row>
    <row r="227" spans="1:16" x14ac:dyDescent="0.25">
      <c r="A227" s="1">
        <v>177</v>
      </c>
      <c r="B227" s="47">
        <v>45803</v>
      </c>
      <c r="C227" s="66">
        <v>34242192</v>
      </c>
      <c r="D227" s="66" t="s">
        <v>169</v>
      </c>
      <c r="E227" s="176">
        <v>57</v>
      </c>
      <c r="F227" s="5">
        <v>17.718</v>
      </c>
      <c r="G227" s="5">
        <v>17.718</v>
      </c>
      <c r="H227" s="5">
        <f t="shared" si="31"/>
        <v>0</v>
      </c>
      <c r="I227" s="16">
        <f t="shared" si="30"/>
        <v>0</v>
      </c>
      <c r="J227" s="16"/>
      <c r="K227" s="16">
        <f t="shared" si="32"/>
        <v>0.19352179115591694</v>
      </c>
      <c r="L227" s="19">
        <f t="shared" si="25"/>
        <v>0.19352179115591694</v>
      </c>
      <c r="N227" s="13" t="s">
        <v>69</v>
      </c>
    </row>
    <row r="228" spans="1:16" x14ac:dyDescent="0.25">
      <c r="A228" s="1">
        <v>178</v>
      </c>
      <c r="B228" s="47">
        <v>46272</v>
      </c>
      <c r="C228" s="66">
        <v>34242198</v>
      </c>
      <c r="D228" s="66" t="s">
        <v>169</v>
      </c>
      <c r="E228" s="176">
        <v>85.8</v>
      </c>
      <c r="F228" s="5">
        <v>38.975000000000001</v>
      </c>
      <c r="G228" s="5">
        <v>38.975000000000001</v>
      </c>
      <c r="H228" s="5">
        <f t="shared" si="31"/>
        <v>0</v>
      </c>
      <c r="I228" s="16">
        <f t="shared" si="30"/>
        <v>0</v>
      </c>
      <c r="J228" s="16"/>
      <c r="K228" s="16">
        <f t="shared" si="32"/>
        <v>0.29130122247680129</v>
      </c>
      <c r="L228" s="19">
        <f t="shared" si="25"/>
        <v>0.29130122247680129</v>
      </c>
      <c r="N228" s="13" t="s">
        <v>69</v>
      </c>
    </row>
    <row r="229" spans="1:16" x14ac:dyDescent="0.25">
      <c r="A229" s="1">
        <v>179</v>
      </c>
      <c r="B229" s="47">
        <v>45802</v>
      </c>
      <c r="C229" s="66">
        <v>34242200</v>
      </c>
      <c r="D229" s="66" t="s">
        <v>169</v>
      </c>
      <c r="E229" s="176">
        <v>84.7</v>
      </c>
      <c r="F229" s="5">
        <v>68.331000000000003</v>
      </c>
      <c r="G229" s="5">
        <v>69.707999999999998</v>
      </c>
      <c r="H229" s="5">
        <f t="shared" si="31"/>
        <v>1.3769999999999953</v>
      </c>
      <c r="I229" s="16">
        <f t="shared" si="30"/>
        <v>1.183944599999996</v>
      </c>
      <c r="J229" s="16"/>
      <c r="K229" s="16">
        <f>E229/($F$25-$F$26)*$K$24</f>
        <v>0.28756659141940644</v>
      </c>
      <c r="L229" s="19">
        <f t="shared" si="25"/>
        <v>1.4715111914194026</v>
      </c>
      <c r="N229" s="13" t="s">
        <v>69</v>
      </c>
    </row>
    <row r="230" spans="1:16" x14ac:dyDescent="0.25">
      <c r="A230" s="1">
        <v>180</v>
      </c>
      <c r="B230" s="33"/>
      <c r="C230" s="66">
        <v>34242197</v>
      </c>
      <c r="D230" s="66" t="s">
        <v>54</v>
      </c>
      <c r="E230" s="176">
        <v>55.8</v>
      </c>
      <c r="F230" s="5">
        <v>29.93</v>
      </c>
      <c r="G230" s="5">
        <v>30.366</v>
      </c>
      <c r="H230" s="5"/>
      <c r="I230" s="16">
        <f t="shared" si="30"/>
        <v>0</v>
      </c>
      <c r="J230" s="16">
        <f t="shared" ref="J230:J231" si="33">(((E230*0.015)*12)/7)</f>
        <v>1.4348571428571428</v>
      </c>
      <c r="K230" s="16"/>
      <c r="L230" s="19">
        <f t="shared" si="25"/>
        <v>1.4348571428571428</v>
      </c>
      <c r="N230" s="13" t="s">
        <v>71</v>
      </c>
      <c r="P230" s="12"/>
    </row>
    <row r="231" spans="1:16" x14ac:dyDescent="0.25">
      <c r="A231" s="1">
        <v>181</v>
      </c>
      <c r="B231" s="33"/>
      <c r="C231" s="66">
        <v>34242193</v>
      </c>
      <c r="D231" s="66" t="s">
        <v>54</v>
      </c>
      <c r="E231" s="176">
        <v>57</v>
      </c>
      <c r="F231" s="5">
        <v>15.673999999999999</v>
      </c>
      <c r="G231" s="5">
        <v>16.065000000000001</v>
      </c>
      <c r="H231" s="5"/>
      <c r="I231" s="16">
        <f t="shared" si="30"/>
        <v>0</v>
      </c>
      <c r="J231" s="16">
        <f t="shared" si="33"/>
        <v>1.4657142857142857</v>
      </c>
      <c r="K231" s="16"/>
      <c r="L231" s="19">
        <f t="shared" si="25"/>
        <v>1.4657142857142857</v>
      </c>
      <c r="N231" s="13" t="s">
        <v>71</v>
      </c>
      <c r="P231" s="12"/>
    </row>
    <row r="232" spans="1:16" x14ac:dyDescent="0.25">
      <c r="A232" s="42">
        <v>182</v>
      </c>
      <c r="B232" s="277" t="s">
        <v>59</v>
      </c>
      <c r="C232" s="70">
        <v>34242194</v>
      </c>
      <c r="D232" s="70" t="s">
        <v>169</v>
      </c>
      <c r="E232" s="171">
        <v>85.8</v>
      </c>
      <c r="F232" s="27">
        <v>49.545000000000002</v>
      </c>
      <c r="G232" s="27">
        <v>51.024000000000001</v>
      </c>
      <c r="H232" s="278">
        <f>G232-F232</f>
        <v>1.4789999999999992</v>
      </c>
      <c r="I232" s="95">
        <f>H232*0.8598</f>
        <v>1.2716441999999992</v>
      </c>
      <c r="J232" s="95"/>
      <c r="K232" s="95">
        <f t="shared" ref="K232:K236" si="34">E232/($F$25-$F$26)*$K$24</f>
        <v>0.29130122247680129</v>
      </c>
      <c r="L232" s="96">
        <f t="shared" si="25"/>
        <v>1.5629454224768005</v>
      </c>
      <c r="N232" s="13" t="s">
        <v>69</v>
      </c>
      <c r="P232" s="12"/>
    </row>
    <row r="233" spans="1:16" x14ac:dyDescent="0.25">
      <c r="A233" s="1" t="s">
        <v>44</v>
      </c>
      <c r="B233" s="33"/>
      <c r="C233" s="66"/>
      <c r="D233" s="66"/>
      <c r="E233" s="176">
        <v>56.5</v>
      </c>
      <c r="F233" s="5"/>
      <c r="G233" s="5"/>
      <c r="H233" s="5"/>
      <c r="I233" s="16"/>
      <c r="J233" s="16"/>
      <c r="K233" s="16">
        <f t="shared" si="34"/>
        <v>0.19182423158437384</v>
      </c>
      <c r="L233" s="16">
        <f t="shared" si="25"/>
        <v>0.19182423158437384</v>
      </c>
      <c r="N233" s="13"/>
      <c r="P233" s="12"/>
    </row>
    <row r="234" spans="1:16" x14ac:dyDescent="0.25">
      <c r="A234" s="1" t="s">
        <v>45</v>
      </c>
      <c r="B234" s="33"/>
      <c r="C234" s="66"/>
      <c r="D234" s="66"/>
      <c r="E234" s="176">
        <v>96</v>
      </c>
      <c r="F234" s="5"/>
      <c r="G234" s="5"/>
      <c r="H234" s="5"/>
      <c r="I234" s="16"/>
      <c r="J234" s="16"/>
      <c r="K234" s="16">
        <f t="shared" si="34"/>
        <v>0.32593143773628119</v>
      </c>
      <c r="L234" s="16">
        <f t="shared" si="25"/>
        <v>0.32593143773628119</v>
      </c>
      <c r="N234" s="13"/>
      <c r="P234" s="12"/>
    </row>
    <row r="235" spans="1:16" x14ac:dyDescent="0.25">
      <c r="A235" s="1" t="s">
        <v>46</v>
      </c>
      <c r="B235" s="33"/>
      <c r="C235" s="66"/>
      <c r="D235" s="66"/>
      <c r="E235" s="176">
        <v>103.3</v>
      </c>
      <c r="F235" s="5"/>
      <c r="G235" s="5"/>
      <c r="H235" s="5"/>
      <c r="I235" s="16"/>
      <c r="J235" s="16"/>
      <c r="K235" s="16">
        <f t="shared" si="34"/>
        <v>0.35071580748081088</v>
      </c>
      <c r="L235" s="16">
        <f t="shared" si="25"/>
        <v>0.35071580748081088</v>
      </c>
      <c r="N235" s="13"/>
      <c r="P235" s="12"/>
    </row>
    <row r="236" spans="1:16" ht="15.75" thickBot="1" x14ac:dyDescent="0.3">
      <c r="A236" s="15" t="s">
        <v>47</v>
      </c>
      <c r="B236" s="35"/>
      <c r="C236" s="68"/>
      <c r="D236" s="68"/>
      <c r="E236" s="90">
        <v>43.4</v>
      </c>
      <c r="F236" s="8"/>
      <c r="G236" s="8"/>
      <c r="H236" s="8"/>
      <c r="I236" s="91"/>
      <c r="J236" s="91"/>
      <c r="K236" s="91">
        <f t="shared" si="34"/>
        <v>0.14734817080994378</v>
      </c>
      <c r="L236" s="91">
        <f t="shared" si="25"/>
        <v>0.14734817080994378</v>
      </c>
      <c r="N236" s="13"/>
      <c r="P236" s="12"/>
    </row>
    <row r="237" spans="1:16" ht="15.75" thickBot="1" x14ac:dyDescent="0.3">
      <c r="A237" s="272" t="s">
        <v>78</v>
      </c>
      <c r="B237" s="273"/>
      <c r="C237" s="273"/>
      <c r="D237" s="187"/>
      <c r="E237" s="200">
        <f>SUM(E181:E236)</f>
        <v>3971.8000000000015</v>
      </c>
      <c r="F237" s="274" t="s">
        <v>79</v>
      </c>
      <c r="G237" s="274"/>
      <c r="H237" s="274"/>
      <c r="I237" s="201">
        <f>SUM(I181:I232)</f>
        <v>25.433602000000004</v>
      </c>
      <c r="J237" s="201">
        <f>SUM(J181:J232)</f>
        <v>12.347999999999999</v>
      </c>
      <c r="K237" s="201">
        <f>SUM(K181:K236)</f>
        <v>11.854397999999994</v>
      </c>
      <c r="L237" s="202">
        <f>SUM(L181:L236)</f>
        <v>49.635999999999981</v>
      </c>
      <c r="N237" s="13"/>
    </row>
    <row r="238" spans="1:16" x14ac:dyDescent="0.25">
      <c r="A238" s="9">
        <v>183</v>
      </c>
      <c r="B238" s="190">
        <v>46272</v>
      </c>
      <c r="C238" s="69">
        <v>34242339</v>
      </c>
      <c r="D238" s="69" t="s">
        <v>169</v>
      </c>
      <c r="E238" s="181">
        <v>117.2</v>
      </c>
      <c r="F238" s="6">
        <v>64.091999999999999</v>
      </c>
      <c r="G238" s="6">
        <v>64.091999999999999</v>
      </c>
      <c r="H238" s="5">
        <f>G238-F238</f>
        <v>0</v>
      </c>
      <c r="I238" s="19">
        <f t="shared" si="30"/>
        <v>0</v>
      </c>
      <c r="J238" s="16">
        <f>$I$307/$E$307*E238</f>
        <v>0.84418586602650503</v>
      </c>
      <c r="K238" s="16">
        <f>E238/($F$32-$F$33)*$K$31</f>
        <v>0.25841699279792579</v>
      </c>
      <c r="L238" s="19">
        <f>I238+J238+K238</f>
        <v>1.1026028588244308</v>
      </c>
      <c r="N238" s="13" t="s">
        <v>69</v>
      </c>
    </row>
    <row r="239" spans="1:16" x14ac:dyDescent="0.25">
      <c r="A239" s="1">
        <v>184</v>
      </c>
      <c r="B239" s="190">
        <v>47017</v>
      </c>
      <c r="C239" s="49" t="s">
        <v>163</v>
      </c>
      <c r="D239" s="66" t="s">
        <v>54</v>
      </c>
      <c r="E239" s="176">
        <v>58.1</v>
      </c>
      <c r="F239" s="5">
        <v>0.88700000000000001</v>
      </c>
      <c r="G239" s="5">
        <v>2.0499999999999998</v>
      </c>
      <c r="H239" s="5"/>
      <c r="I239" s="16">
        <f>G239-F239</f>
        <v>1.1629999999999998</v>
      </c>
      <c r="J239" s="16"/>
      <c r="K239" s="16">
        <f>E239/($F$32-$F$33)*$K$31</f>
        <v>0.12810603482559288</v>
      </c>
      <c r="L239" s="19">
        <f t="shared" ref="L239:L303" si="35">I239+J239+K239</f>
        <v>1.2911060348255927</v>
      </c>
      <c r="N239" s="13" t="s">
        <v>69</v>
      </c>
    </row>
    <row r="240" spans="1:16" x14ac:dyDescent="0.25">
      <c r="A240" s="1">
        <v>185</v>
      </c>
      <c r="B240" s="33"/>
      <c r="C240" s="66">
        <v>34242160</v>
      </c>
      <c r="D240" s="66" t="s">
        <v>54</v>
      </c>
      <c r="E240" s="176">
        <v>58.4</v>
      </c>
      <c r="F240" s="5">
        <v>14.632</v>
      </c>
      <c r="G240" s="5">
        <v>14.632</v>
      </c>
      <c r="H240" s="5"/>
      <c r="I240" s="16">
        <f t="shared" si="30"/>
        <v>0</v>
      </c>
      <c r="J240" s="16">
        <f>(((E240*0.015)*12)/7)</f>
        <v>1.5017142857142858</v>
      </c>
      <c r="K240" s="16"/>
      <c r="L240" s="19">
        <f t="shared" si="35"/>
        <v>1.5017142857142858</v>
      </c>
      <c r="N240" s="13" t="s">
        <v>71</v>
      </c>
    </row>
    <row r="241" spans="1:14" x14ac:dyDescent="0.25">
      <c r="A241" s="1">
        <v>186</v>
      </c>
      <c r="B241" s="47">
        <v>46283</v>
      </c>
      <c r="C241" s="66">
        <v>43441091</v>
      </c>
      <c r="D241" s="66" t="s">
        <v>169</v>
      </c>
      <c r="E241" s="176">
        <v>46.7</v>
      </c>
      <c r="F241" s="5">
        <v>39.520000000000003</v>
      </c>
      <c r="G241" s="5">
        <v>40.972000000000001</v>
      </c>
      <c r="H241" s="5">
        <f>G241-F241</f>
        <v>1.4519999999999982</v>
      </c>
      <c r="I241" s="16">
        <f>H241*0.8598</f>
        <v>1.2484295999999984</v>
      </c>
      <c r="J241" s="16"/>
      <c r="K241" s="16">
        <f t="shared" ref="K241:K242" si="36">E241/($F$32-$F$33)*$K$31</f>
        <v>0.10296991095275711</v>
      </c>
      <c r="L241" s="19">
        <f t="shared" si="35"/>
        <v>1.3513995109527555</v>
      </c>
      <c r="N241" s="13" t="s">
        <v>69</v>
      </c>
    </row>
    <row r="242" spans="1:14" x14ac:dyDescent="0.25">
      <c r="A242" s="1">
        <v>187</v>
      </c>
      <c r="B242" s="47">
        <v>45654</v>
      </c>
      <c r="C242" s="66">
        <v>34242342</v>
      </c>
      <c r="D242" s="66" t="s">
        <v>169</v>
      </c>
      <c r="E242" s="176">
        <v>77.400000000000006</v>
      </c>
      <c r="F242" s="5">
        <v>52.213999999999999</v>
      </c>
      <c r="G242" s="5">
        <v>53.527000000000001</v>
      </c>
      <c r="H242" s="5">
        <f>G242-F242</f>
        <v>1.3130000000000024</v>
      </c>
      <c r="I242" s="16">
        <f>H242*0.8598</f>
        <v>1.128917400000002</v>
      </c>
      <c r="J242" s="19"/>
      <c r="K242" s="16">
        <f t="shared" si="36"/>
        <v>0.1706610515576745</v>
      </c>
      <c r="L242" s="19">
        <f t="shared" si="35"/>
        <v>1.2995784515576765</v>
      </c>
      <c r="N242" s="13" t="s">
        <v>69</v>
      </c>
    </row>
    <row r="243" spans="1:14" x14ac:dyDescent="0.25">
      <c r="A243" s="1">
        <v>188</v>
      </c>
      <c r="B243" s="34"/>
      <c r="C243" s="66">
        <v>34242334</v>
      </c>
      <c r="D243" s="66" t="s">
        <v>54</v>
      </c>
      <c r="E243" s="176">
        <v>117.2</v>
      </c>
      <c r="F243" s="5">
        <v>49.820999999999998</v>
      </c>
      <c r="G243" s="5">
        <v>51.634</v>
      </c>
      <c r="H243" s="5"/>
      <c r="I243" s="16">
        <f t="shared" si="30"/>
        <v>0</v>
      </c>
      <c r="J243" s="16">
        <f>(((E243*0.015)*12)/7)</f>
        <v>3.0137142857142858</v>
      </c>
      <c r="K243" s="16"/>
      <c r="L243" s="19">
        <f t="shared" si="35"/>
        <v>3.0137142857142858</v>
      </c>
      <c r="N243" s="13" t="s">
        <v>71</v>
      </c>
    </row>
    <row r="244" spans="1:14" x14ac:dyDescent="0.25">
      <c r="A244" s="1">
        <v>189</v>
      </c>
      <c r="B244" s="47">
        <v>45566</v>
      </c>
      <c r="C244" s="49" t="s">
        <v>89</v>
      </c>
      <c r="D244" s="66" t="s">
        <v>54</v>
      </c>
      <c r="E244" s="176">
        <v>58.7</v>
      </c>
      <c r="F244" s="39">
        <v>8.4009999999999998</v>
      </c>
      <c r="G244" s="39">
        <v>9.2650000000000006</v>
      </c>
      <c r="H244" s="5"/>
      <c r="I244" s="16">
        <f>G244-F244</f>
        <v>0.86400000000000077</v>
      </c>
      <c r="J244" s="19"/>
      <c r="K244" s="16">
        <f t="shared" ref="K244:K248" si="37">E244/($F$32-$F$33)*$K$31</f>
        <v>0.12942898871363687</v>
      </c>
      <c r="L244" s="19">
        <f t="shared" si="35"/>
        <v>0.99342898871363761</v>
      </c>
      <c r="N244" s="13" t="s">
        <v>69</v>
      </c>
    </row>
    <row r="245" spans="1:14" x14ac:dyDescent="0.25">
      <c r="A245" s="1">
        <v>190</v>
      </c>
      <c r="B245" s="48">
        <v>45704</v>
      </c>
      <c r="C245" s="66">
        <v>34242340</v>
      </c>
      <c r="D245" s="66" t="s">
        <v>169</v>
      </c>
      <c r="E245" s="176">
        <v>58.2</v>
      </c>
      <c r="F245" s="5">
        <v>41.58</v>
      </c>
      <c r="G245" s="5">
        <v>43.165999999999997</v>
      </c>
      <c r="H245" s="5">
        <f>G245-F245</f>
        <v>1.5859999999999985</v>
      </c>
      <c r="I245" s="16">
        <f t="shared" si="30"/>
        <v>1.3636427999999987</v>
      </c>
      <c r="J245" s="19"/>
      <c r="K245" s="16">
        <f t="shared" si="37"/>
        <v>0.12832652714026688</v>
      </c>
      <c r="L245" s="19">
        <f t="shared" si="35"/>
        <v>1.4919693271402656</v>
      </c>
      <c r="N245" s="13" t="s">
        <v>69</v>
      </c>
    </row>
    <row r="246" spans="1:14" x14ac:dyDescent="0.25">
      <c r="A246" s="1">
        <v>191</v>
      </c>
      <c r="B246" s="47">
        <v>45668</v>
      </c>
      <c r="C246" s="10" t="s">
        <v>93</v>
      </c>
      <c r="D246" s="66" t="s">
        <v>54</v>
      </c>
      <c r="E246" s="169">
        <v>46.6</v>
      </c>
      <c r="F246" s="5">
        <v>0.24199999999999999</v>
      </c>
      <c r="G246" s="5">
        <v>0.247</v>
      </c>
      <c r="H246" s="39"/>
      <c r="I246" s="16">
        <f>G246-F246</f>
        <v>5.0000000000000044E-3</v>
      </c>
      <c r="J246" s="16"/>
      <c r="K246" s="16">
        <f t="shared" si="37"/>
        <v>0.1027494186380831</v>
      </c>
      <c r="L246" s="19">
        <f>I246+J246+K246</f>
        <v>0.1077494186380831</v>
      </c>
      <c r="N246" s="13" t="s">
        <v>69</v>
      </c>
    </row>
    <row r="247" spans="1:14" x14ac:dyDescent="0.25">
      <c r="A247" s="1">
        <v>192</v>
      </c>
      <c r="B247" s="33" t="s">
        <v>59</v>
      </c>
      <c r="C247" s="10" t="s">
        <v>80</v>
      </c>
      <c r="D247" s="66" t="s">
        <v>54</v>
      </c>
      <c r="E247" s="169">
        <v>77.3</v>
      </c>
      <c r="F247" s="39">
        <v>3.2309999999999999</v>
      </c>
      <c r="G247" s="39">
        <v>3.4470000000000001</v>
      </c>
      <c r="H247" s="5"/>
      <c r="I247" s="16">
        <f>G247-F247</f>
        <v>0.21600000000000019</v>
      </c>
      <c r="J247" s="19"/>
      <c r="K247" s="16">
        <f t="shared" si="37"/>
        <v>0.1704405592430005</v>
      </c>
      <c r="L247" s="19">
        <f>I247+J247+K247</f>
        <v>0.38644055924300069</v>
      </c>
      <c r="N247" s="13" t="s">
        <v>69</v>
      </c>
    </row>
    <row r="248" spans="1:14" x14ac:dyDescent="0.25">
      <c r="A248" s="1">
        <v>193</v>
      </c>
      <c r="B248" s="47">
        <v>45741</v>
      </c>
      <c r="C248" s="66">
        <v>34242324</v>
      </c>
      <c r="D248" s="276" t="s">
        <v>169</v>
      </c>
      <c r="E248" s="169">
        <v>116.7</v>
      </c>
      <c r="F248" s="5">
        <v>11.657999999999999</v>
      </c>
      <c r="G248" s="5">
        <v>11.852</v>
      </c>
      <c r="H248" s="5">
        <f>G248-F248</f>
        <v>0.19400000000000084</v>
      </c>
      <c r="I248" s="16">
        <f t="shared" si="30"/>
        <v>0.16680120000000073</v>
      </c>
      <c r="J248" s="16"/>
      <c r="K248" s="16">
        <f t="shared" si="37"/>
        <v>0.25731453122455572</v>
      </c>
      <c r="L248" s="19">
        <f t="shared" si="35"/>
        <v>0.42411573122455648</v>
      </c>
      <c r="N248" s="13" t="s">
        <v>69</v>
      </c>
    </row>
    <row r="249" spans="1:14" x14ac:dyDescent="0.25">
      <c r="A249" s="42">
        <v>194</v>
      </c>
      <c r="B249" s="34"/>
      <c r="C249" s="70">
        <v>34242331</v>
      </c>
      <c r="D249" s="66" t="s">
        <v>54</v>
      </c>
      <c r="E249" s="59">
        <v>58</v>
      </c>
      <c r="F249" s="5">
        <v>4.4710000000000001</v>
      </c>
      <c r="G249" s="5">
        <v>4.4710000000000001</v>
      </c>
      <c r="H249" s="5"/>
      <c r="I249" s="16">
        <f t="shared" si="30"/>
        <v>0</v>
      </c>
      <c r="J249" s="16">
        <f>(((E249*0.015)*12)/7)</f>
        <v>1.4914285714285713</v>
      </c>
      <c r="K249" s="16"/>
      <c r="L249" s="19">
        <f t="shared" si="35"/>
        <v>1.4914285714285713</v>
      </c>
      <c r="N249" s="13" t="s">
        <v>71</v>
      </c>
    </row>
    <row r="250" spans="1:14" x14ac:dyDescent="0.25">
      <c r="A250" s="1">
        <v>195</v>
      </c>
      <c r="B250" s="47">
        <v>45553</v>
      </c>
      <c r="C250" s="10" t="s">
        <v>98</v>
      </c>
      <c r="D250" s="66" t="s">
        <v>54</v>
      </c>
      <c r="E250" s="169">
        <v>58.1</v>
      </c>
      <c r="F250" s="39">
        <v>3.0579999999999998</v>
      </c>
      <c r="G250" s="39">
        <v>3.653</v>
      </c>
      <c r="H250" s="5"/>
      <c r="I250" s="16">
        <f>G250-F250</f>
        <v>0.5950000000000002</v>
      </c>
      <c r="J250" s="19"/>
      <c r="K250" s="16">
        <f t="shared" ref="K250:K257" si="38">E250/($F$32-$F$33)*$K$31</f>
        <v>0.12810603482559288</v>
      </c>
      <c r="L250" s="19">
        <f>I250+J250+K250</f>
        <v>0.7231060348255931</v>
      </c>
      <c r="N250" s="13" t="s">
        <v>69</v>
      </c>
    </row>
    <row r="251" spans="1:14" x14ac:dyDescent="0.25">
      <c r="A251" s="1">
        <v>196</v>
      </c>
      <c r="B251" s="47">
        <v>45553</v>
      </c>
      <c r="C251" s="10" t="s">
        <v>99</v>
      </c>
      <c r="D251" s="66" t="s">
        <v>54</v>
      </c>
      <c r="E251" s="169">
        <v>46.7</v>
      </c>
      <c r="F251" s="39">
        <v>2.2360000000000002</v>
      </c>
      <c r="G251" s="39">
        <v>2.6760000000000002</v>
      </c>
      <c r="H251" s="5"/>
      <c r="I251" s="16">
        <f>G251-F251</f>
        <v>0.43999999999999995</v>
      </c>
      <c r="J251" s="19"/>
      <c r="K251" s="16">
        <f t="shared" si="38"/>
        <v>0.10296991095275711</v>
      </c>
      <c r="L251" s="19">
        <f t="shared" si="35"/>
        <v>0.54296991095275704</v>
      </c>
      <c r="M251" s="24"/>
      <c r="N251" s="13" t="s">
        <v>69</v>
      </c>
    </row>
    <row r="252" spans="1:14" x14ac:dyDescent="0.25">
      <c r="A252" s="9">
        <v>197</v>
      </c>
      <c r="B252" s="105">
        <v>45955</v>
      </c>
      <c r="C252" s="69" t="s">
        <v>114</v>
      </c>
      <c r="D252" s="66" t="s">
        <v>54</v>
      </c>
      <c r="E252" s="174">
        <v>77.5</v>
      </c>
      <c r="F252" s="39">
        <v>7.88</v>
      </c>
      <c r="G252" s="39">
        <v>9.125</v>
      </c>
      <c r="H252" s="5"/>
      <c r="I252" s="16">
        <f>G252-F252</f>
        <v>1.2450000000000001</v>
      </c>
      <c r="J252" s="16"/>
      <c r="K252" s="16">
        <f t="shared" si="38"/>
        <v>0.1708815438723485</v>
      </c>
      <c r="L252" s="19">
        <f t="shared" si="35"/>
        <v>1.4158815438723487</v>
      </c>
      <c r="M252" s="24"/>
      <c r="N252" s="13" t="s">
        <v>69</v>
      </c>
    </row>
    <row r="253" spans="1:14" x14ac:dyDescent="0.25">
      <c r="A253" s="1">
        <v>198</v>
      </c>
      <c r="B253" s="47">
        <v>45900</v>
      </c>
      <c r="C253" s="66">
        <v>34242333</v>
      </c>
      <c r="D253" s="276" t="s">
        <v>169</v>
      </c>
      <c r="E253" s="169">
        <v>116.5</v>
      </c>
      <c r="F253" s="5">
        <v>40.478000000000002</v>
      </c>
      <c r="G253" s="5">
        <v>41.790999999999997</v>
      </c>
      <c r="H253" s="5">
        <f>G253-F253</f>
        <v>1.3129999999999953</v>
      </c>
      <c r="I253" s="16">
        <f t="shared" ref="I253:I274" si="39">H253*0.8598</f>
        <v>1.128917399999996</v>
      </c>
      <c r="J253" s="19"/>
      <c r="K253" s="16">
        <f t="shared" si="38"/>
        <v>0.25687354659520778</v>
      </c>
      <c r="L253" s="19">
        <f t="shared" si="35"/>
        <v>1.3857909465952036</v>
      </c>
      <c r="M253" s="24"/>
      <c r="N253" s="13" t="s">
        <v>69</v>
      </c>
    </row>
    <row r="254" spans="1:14" x14ac:dyDescent="0.25">
      <c r="A254" s="1">
        <v>199</v>
      </c>
      <c r="B254" s="47">
        <v>46276</v>
      </c>
      <c r="C254" s="66">
        <v>34242330</v>
      </c>
      <c r="D254" s="276" t="s">
        <v>169</v>
      </c>
      <c r="E254" s="169">
        <v>58.8</v>
      </c>
      <c r="F254" s="5">
        <v>47.695999999999998</v>
      </c>
      <c r="G254" s="5">
        <v>48.829000000000001</v>
      </c>
      <c r="H254" s="5">
        <f>G254-F254</f>
        <v>1.1330000000000027</v>
      </c>
      <c r="I254" s="16">
        <f t="shared" si="39"/>
        <v>0.97415340000000228</v>
      </c>
      <c r="J254" s="16"/>
      <c r="K254" s="16">
        <f t="shared" si="38"/>
        <v>0.12964948102831086</v>
      </c>
      <c r="L254" s="19">
        <f t="shared" si="35"/>
        <v>1.1038028810283131</v>
      </c>
      <c r="N254" s="13" t="s">
        <v>69</v>
      </c>
    </row>
    <row r="255" spans="1:14" x14ac:dyDescent="0.25">
      <c r="A255" s="1">
        <v>200</v>
      </c>
      <c r="B255" s="47">
        <v>45873</v>
      </c>
      <c r="C255" s="66">
        <v>34242329</v>
      </c>
      <c r="D255" s="276" t="s">
        <v>169</v>
      </c>
      <c r="E255" s="169">
        <v>58.6</v>
      </c>
      <c r="F255" s="5">
        <v>8.6110000000000007</v>
      </c>
      <c r="G255" s="5">
        <v>9.5020000000000007</v>
      </c>
      <c r="H255" s="5">
        <f>G255-F255</f>
        <v>0.89100000000000001</v>
      </c>
      <c r="I255" s="16">
        <f t="shared" si="39"/>
        <v>0.76608180000000003</v>
      </c>
      <c r="J255" s="16"/>
      <c r="K255" s="16">
        <f t="shared" si="38"/>
        <v>0.1292084963989629</v>
      </c>
      <c r="L255" s="19">
        <f t="shared" si="35"/>
        <v>0.89529029639896296</v>
      </c>
      <c r="N255" s="13" t="s">
        <v>69</v>
      </c>
    </row>
    <row r="256" spans="1:14" x14ac:dyDescent="0.25">
      <c r="A256" s="1">
        <v>201</v>
      </c>
      <c r="B256" s="47">
        <v>45650</v>
      </c>
      <c r="C256" s="66">
        <v>34242326</v>
      </c>
      <c r="D256" s="276" t="s">
        <v>169</v>
      </c>
      <c r="E256" s="169">
        <v>46.4</v>
      </c>
      <c r="F256" s="5">
        <v>36.716000000000001</v>
      </c>
      <c r="G256" s="5">
        <v>37.545999999999999</v>
      </c>
      <c r="H256" s="5">
        <f>G256-F256</f>
        <v>0.82999999999999829</v>
      </c>
      <c r="I256" s="16">
        <f>H256*0.8598</f>
        <v>0.71363399999999855</v>
      </c>
      <c r="J256" s="19"/>
      <c r="K256" s="16">
        <f t="shared" si="38"/>
        <v>0.10230843400873511</v>
      </c>
      <c r="L256" s="19">
        <f t="shared" si="35"/>
        <v>0.81594243400873367</v>
      </c>
      <c r="N256" s="13" t="s">
        <v>69</v>
      </c>
    </row>
    <row r="257" spans="1:14" x14ac:dyDescent="0.25">
      <c r="A257" s="1">
        <v>202</v>
      </c>
      <c r="B257" s="33" t="s">
        <v>59</v>
      </c>
      <c r="C257" s="94" t="s">
        <v>60</v>
      </c>
      <c r="D257" s="66" t="s">
        <v>54</v>
      </c>
      <c r="E257" s="169">
        <v>77.5</v>
      </c>
      <c r="F257" s="39">
        <v>17.905000000000001</v>
      </c>
      <c r="G257" s="39">
        <v>19.547000000000001</v>
      </c>
      <c r="H257" s="39"/>
      <c r="I257" s="16">
        <f>G257-F257</f>
        <v>1.6419999999999995</v>
      </c>
      <c r="J257" s="19"/>
      <c r="K257" s="16">
        <f t="shared" si="38"/>
        <v>0.1708815438723485</v>
      </c>
      <c r="L257" s="19">
        <f>I257+J257+K257</f>
        <v>1.812881543872348</v>
      </c>
      <c r="N257" s="13" t="s">
        <v>69</v>
      </c>
    </row>
    <row r="258" spans="1:14" x14ac:dyDescent="0.25">
      <c r="A258" s="1">
        <v>203</v>
      </c>
      <c r="B258" s="33"/>
      <c r="C258" s="66">
        <v>43441405</v>
      </c>
      <c r="D258" s="66" t="s">
        <v>54</v>
      </c>
      <c r="E258" s="169">
        <v>117.4</v>
      </c>
      <c r="F258" s="5">
        <v>64.319000000000003</v>
      </c>
      <c r="G258" s="5">
        <v>66.620999999999995</v>
      </c>
      <c r="H258" s="5"/>
      <c r="I258" s="16">
        <f t="shared" si="39"/>
        <v>0</v>
      </c>
      <c r="J258" s="16">
        <f>(((E258*0.015)*12)/7)</f>
        <v>3.0188571428571431</v>
      </c>
      <c r="K258" s="16"/>
      <c r="L258" s="19">
        <f t="shared" si="35"/>
        <v>3.0188571428571431</v>
      </c>
      <c r="N258" s="13" t="s">
        <v>71</v>
      </c>
    </row>
    <row r="259" spans="1:14" x14ac:dyDescent="0.25">
      <c r="A259" s="1">
        <v>204</v>
      </c>
      <c r="B259" s="33"/>
      <c r="C259" s="66">
        <v>43441406</v>
      </c>
      <c r="D259" s="66" t="s">
        <v>54</v>
      </c>
      <c r="E259" s="169">
        <v>57.9</v>
      </c>
      <c r="F259" s="5">
        <v>7.3760000000000003</v>
      </c>
      <c r="G259" s="5">
        <v>7.3760000000000003</v>
      </c>
      <c r="H259" s="5"/>
      <c r="I259" s="16">
        <f t="shared" si="39"/>
        <v>0</v>
      </c>
      <c r="J259" s="16">
        <f t="shared" ref="J259:J262" si="40">(((E259*0.015)*12)/7)</f>
        <v>1.4888571428571427</v>
      </c>
      <c r="K259" s="16"/>
      <c r="L259" s="19">
        <f t="shared" si="35"/>
        <v>1.4888571428571427</v>
      </c>
      <c r="N259" s="13" t="s">
        <v>71</v>
      </c>
    </row>
    <row r="260" spans="1:14" x14ac:dyDescent="0.25">
      <c r="A260" s="1">
        <v>205</v>
      </c>
      <c r="B260" s="47">
        <v>46287</v>
      </c>
      <c r="C260" s="66">
        <v>43441089</v>
      </c>
      <c r="D260" s="66" t="s">
        <v>169</v>
      </c>
      <c r="E260" s="169">
        <v>58.3</v>
      </c>
      <c r="F260" s="5">
        <v>35.625</v>
      </c>
      <c r="G260" s="5">
        <v>36.143999999999998</v>
      </c>
      <c r="H260" s="5">
        <f>G260-F260</f>
        <v>0.51899999999999835</v>
      </c>
      <c r="I260" s="16">
        <f t="shared" si="39"/>
        <v>0.44623619999999858</v>
      </c>
      <c r="J260" s="16"/>
      <c r="K260" s="16">
        <f>E260/($F$32-$F$33)*$K$31</f>
        <v>0.12854701945494085</v>
      </c>
      <c r="L260" s="19">
        <f t="shared" si="35"/>
        <v>0.57478321945493938</v>
      </c>
      <c r="N260" s="13" t="s">
        <v>69</v>
      </c>
    </row>
    <row r="261" spans="1:14" x14ac:dyDescent="0.25">
      <c r="A261" s="1">
        <v>206</v>
      </c>
      <c r="B261" s="34"/>
      <c r="C261" s="66">
        <v>20242434</v>
      </c>
      <c r="D261" s="66" t="s">
        <v>54</v>
      </c>
      <c r="E261" s="169">
        <v>46.3</v>
      </c>
      <c r="F261" s="5">
        <v>19.893999999999998</v>
      </c>
      <c r="G261" s="5">
        <v>21.093</v>
      </c>
      <c r="H261" s="5"/>
      <c r="I261" s="16">
        <f t="shared" si="39"/>
        <v>0</v>
      </c>
      <c r="J261" s="16">
        <f t="shared" si="40"/>
        <v>1.1905714285714286</v>
      </c>
      <c r="K261" s="16"/>
      <c r="L261" s="19">
        <f t="shared" si="35"/>
        <v>1.1905714285714286</v>
      </c>
      <c r="N261" s="13" t="s">
        <v>71</v>
      </c>
    </row>
    <row r="262" spans="1:14" x14ac:dyDescent="0.25">
      <c r="A262" s="1">
        <v>207</v>
      </c>
      <c r="B262" s="33"/>
      <c r="C262" s="66">
        <v>43441407</v>
      </c>
      <c r="D262" s="66" t="s">
        <v>54</v>
      </c>
      <c r="E262" s="169">
        <v>77.900000000000006</v>
      </c>
      <c r="F262" s="5">
        <v>30.984000000000002</v>
      </c>
      <c r="G262" s="5">
        <v>32.590000000000003</v>
      </c>
      <c r="H262" s="5"/>
      <c r="I262" s="16">
        <f t="shared" si="39"/>
        <v>0</v>
      </c>
      <c r="J262" s="16">
        <f t="shared" si="40"/>
        <v>2.0031428571428576</v>
      </c>
      <c r="K262" s="16"/>
      <c r="L262" s="19">
        <f t="shared" si="35"/>
        <v>2.0031428571428576</v>
      </c>
      <c r="N262" s="13" t="s">
        <v>71</v>
      </c>
    </row>
    <row r="263" spans="1:14" x14ac:dyDescent="0.25">
      <c r="A263" s="1">
        <v>208</v>
      </c>
      <c r="B263" s="47">
        <v>45915</v>
      </c>
      <c r="C263" s="66">
        <v>43441412</v>
      </c>
      <c r="D263" s="276" t="s">
        <v>169</v>
      </c>
      <c r="E263" s="169">
        <v>117.9</v>
      </c>
      <c r="F263" s="5">
        <v>51.813000000000002</v>
      </c>
      <c r="G263" s="5">
        <v>53</v>
      </c>
      <c r="H263" s="5">
        <f>G263-F263</f>
        <v>1.1869999999999976</v>
      </c>
      <c r="I263" s="16">
        <f>H263*0.8598</f>
        <v>1.020582599999998</v>
      </c>
      <c r="J263" s="16"/>
      <c r="K263" s="16">
        <f>E263/($F$32-$F$33)*$K$31</f>
        <v>0.25996043900064369</v>
      </c>
      <c r="L263" s="19">
        <f>I263+J263+K263</f>
        <v>1.2805430390006416</v>
      </c>
      <c r="N263" s="13" t="s">
        <v>69</v>
      </c>
    </row>
    <row r="264" spans="1:14" x14ac:dyDescent="0.25">
      <c r="A264" s="1">
        <v>209</v>
      </c>
      <c r="B264" s="53"/>
      <c r="C264" s="66">
        <v>43441411</v>
      </c>
      <c r="D264" s="66" t="s">
        <v>54</v>
      </c>
      <c r="E264" s="169">
        <v>58.2</v>
      </c>
      <c r="F264" s="5">
        <v>29.055</v>
      </c>
      <c r="G264" s="5">
        <v>29.055</v>
      </c>
      <c r="H264" s="5"/>
      <c r="I264" s="16">
        <f t="shared" si="39"/>
        <v>0</v>
      </c>
      <c r="J264" s="16">
        <f>(((E264*0.015)*12)/7)</f>
        <v>1.4965714285714284</v>
      </c>
      <c r="K264" s="16"/>
      <c r="L264" s="19">
        <f t="shared" si="35"/>
        <v>1.4965714285714284</v>
      </c>
      <c r="N264" s="13" t="s">
        <v>71</v>
      </c>
    </row>
    <row r="265" spans="1:14" x14ac:dyDescent="0.25">
      <c r="A265" s="1">
        <v>210</v>
      </c>
      <c r="B265" s="47">
        <v>46230</v>
      </c>
      <c r="C265" s="66" t="s">
        <v>151</v>
      </c>
      <c r="D265" s="66" t="s">
        <v>54</v>
      </c>
      <c r="E265" s="169">
        <v>58.6</v>
      </c>
      <c r="F265" s="5">
        <v>9.0999999999999998E-2</v>
      </c>
      <c r="G265" s="5">
        <v>0.59099999999999997</v>
      </c>
      <c r="H265" s="5"/>
      <c r="I265" s="16">
        <f>G265-F265</f>
        <v>0.5</v>
      </c>
      <c r="J265" s="16"/>
      <c r="K265" s="16">
        <f t="shared" ref="K265:K268" si="41">E265/($F$32-$F$33)*$K$31</f>
        <v>0.1292084963989629</v>
      </c>
      <c r="L265" s="19">
        <f t="shared" si="35"/>
        <v>0.62920849639896292</v>
      </c>
      <c r="N265" s="13" t="s">
        <v>69</v>
      </c>
    </row>
    <row r="266" spans="1:14" x14ac:dyDescent="0.25">
      <c r="A266" s="1">
        <v>211</v>
      </c>
      <c r="B266" s="47">
        <v>46287</v>
      </c>
      <c r="C266" s="66">
        <v>43441409</v>
      </c>
      <c r="D266" s="66" t="s">
        <v>169</v>
      </c>
      <c r="E266" s="169">
        <v>46.7</v>
      </c>
      <c r="F266" s="5">
        <v>32.185000000000002</v>
      </c>
      <c r="G266" s="5">
        <v>33.045000000000002</v>
      </c>
      <c r="H266" s="5">
        <f>G266-F266</f>
        <v>0.85999999999999943</v>
      </c>
      <c r="I266" s="16">
        <f t="shared" si="39"/>
        <v>0.73942799999999953</v>
      </c>
      <c r="J266" s="16"/>
      <c r="K266" s="16">
        <f t="shared" si="41"/>
        <v>0.10296991095275711</v>
      </c>
      <c r="L266" s="19">
        <f t="shared" si="35"/>
        <v>0.84239791095275662</v>
      </c>
      <c r="N266" s="13" t="s">
        <v>69</v>
      </c>
    </row>
    <row r="267" spans="1:14" x14ac:dyDescent="0.25">
      <c r="A267" s="1">
        <v>212</v>
      </c>
      <c r="B267" s="47">
        <v>46306</v>
      </c>
      <c r="C267" s="66">
        <v>43441410</v>
      </c>
      <c r="D267" s="66" t="s">
        <v>169</v>
      </c>
      <c r="E267" s="169">
        <v>78.599999999999994</v>
      </c>
      <c r="F267" s="5">
        <v>43.548000000000002</v>
      </c>
      <c r="G267" s="5">
        <v>44.13</v>
      </c>
      <c r="H267" s="5">
        <f>G267-F267</f>
        <v>0.58200000000000074</v>
      </c>
      <c r="I267" s="16">
        <f t="shared" si="39"/>
        <v>0.50040360000000061</v>
      </c>
      <c r="J267" s="16"/>
      <c r="K267" s="16">
        <f t="shared" si="41"/>
        <v>0.17330695933376247</v>
      </c>
      <c r="L267" s="19">
        <f t="shared" si="35"/>
        <v>0.67371055933376311</v>
      </c>
      <c r="N267" s="13" t="s">
        <v>69</v>
      </c>
    </row>
    <row r="268" spans="1:14" x14ac:dyDescent="0.25">
      <c r="A268" s="1">
        <v>213</v>
      </c>
      <c r="B268" s="47">
        <v>45803</v>
      </c>
      <c r="C268" s="66">
        <v>43441403</v>
      </c>
      <c r="D268" s="66" t="s">
        <v>169</v>
      </c>
      <c r="E268" s="169">
        <v>117.8</v>
      </c>
      <c r="F268" s="5">
        <v>51.243000000000002</v>
      </c>
      <c r="G268" s="5">
        <v>51.857999999999997</v>
      </c>
      <c r="H268" s="5">
        <f>G268-F268</f>
        <v>0.61499999999999488</v>
      </c>
      <c r="I268" s="16">
        <f t="shared" si="39"/>
        <v>0.52877699999999561</v>
      </c>
      <c r="J268" s="19"/>
      <c r="K268" s="16">
        <f t="shared" si="41"/>
        <v>0.25973994668596972</v>
      </c>
      <c r="L268" s="19">
        <f t="shared" si="35"/>
        <v>0.78851694668596539</v>
      </c>
      <c r="N268" s="13" t="s">
        <v>69</v>
      </c>
    </row>
    <row r="269" spans="1:14" x14ac:dyDescent="0.25">
      <c r="A269" s="1">
        <v>214</v>
      </c>
      <c r="B269" s="33"/>
      <c r="C269" s="66">
        <v>43441398</v>
      </c>
      <c r="D269" s="66" t="s">
        <v>54</v>
      </c>
      <c r="E269" s="169">
        <v>57.8</v>
      </c>
      <c r="F269" s="5">
        <v>16.306999999999999</v>
      </c>
      <c r="G269" s="5">
        <v>17.116</v>
      </c>
      <c r="H269" s="5"/>
      <c r="I269" s="16">
        <f t="shared" si="39"/>
        <v>0</v>
      </c>
      <c r="J269" s="16">
        <f>(((E269*0.015)*12)/7)</f>
        <v>1.486285714285714</v>
      </c>
      <c r="K269" s="16"/>
      <c r="L269" s="19">
        <f t="shared" si="35"/>
        <v>1.486285714285714</v>
      </c>
      <c r="N269" s="13" t="s">
        <v>71</v>
      </c>
    </row>
    <row r="270" spans="1:14" x14ac:dyDescent="0.25">
      <c r="A270" s="1">
        <v>215</v>
      </c>
      <c r="B270" s="47">
        <v>46269</v>
      </c>
      <c r="C270" s="66">
        <v>43441413</v>
      </c>
      <c r="D270" s="66" t="s">
        <v>169</v>
      </c>
      <c r="E270" s="169">
        <v>58.8</v>
      </c>
      <c r="F270" s="5">
        <v>30.106999999999999</v>
      </c>
      <c r="G270" s="5">
        <v>31.132999999999999</v>
      </c>
      <c r="H270" s="5">
        <f>G270-F270</f>
        <v>1.0259999999999998</v>
      </c>
      <c r="I270" s="16">
        <f t="shared" si="39"/>
        <v>0.88215479999999979</v>
      </c>
      <c r="J270" s="16"/>
      <c r="K270" s="16">
        <f t="shared" ref="K270:K271" si="42">E270/($F$32-$F$33)*$K$31</f>
        <v>0.12964948102831086</v>
      </c>
      <c r="L270" s="19">
        <f t="shared" si="35"/>
        <v>1.0118042810283105</v>
      </c>
      <c r="N270" s="13" t="s">
        <v>69</v>
      </c>
    </row>
    <row r="271" spans="1:14" x14ac:dyDescent="0.25">
      <c r="A271" s="1">
        <v>216</v>
      </c>
      <c r="B271" s="47">
        <v>45939</v>
      </c>
      <c r="C271" s="66">
        <v>43441401</v>
      </c>
      <c r="D271" s="66" t="s">
        <v>169</v>
      </c>
      <c r="E271" s="169">
        <v>46.6</v>
      </c>
      <c r="F271" s="5">
        <v>42.816000000000003</v>
      </c>
      <c r="G271" s="5">
        <v>43.512999999999998</v>
      </c>
      <c r="H271" s="5">
        <f>G271-F271</f>
        <v>0.69699999999999562</v>
      </c>
      <c r="I271" s="16">
        <f t="shared" si="39"/>
        <v>0.59928059999999628</v>
      </c>
      <c r="J271" s="19"/>
      <c r="K271" s="16">
        <f t="shared" si="42"/>
        <v>0.1027494186380831</v>
      </c>
      <c r="L271" s="19">
        <f t="shared" si="35"/>
        <v>0.70203001863807935</v>
      </c>
      <c r="N271" s="13" t="s">
        <v>69</v>
      </c>
    </row>
    <row r="272" spans="1:14" x14ac:dyDescent="0.25">
      <c r="A272" s="1">
        <v>217</v>
      </c>
      <c r="B272" s="33"/>
      <c r="C272" s="66">
        <v>43441404</v>
      </c>
      <c r="D272" s="66" t="s">
        <v>54</v>
      </c>
      <c r="E272" s="169">
        <v>78.400000000000006</v>
      </c>
      <c r="F272" s="5">
        <v>41.945</v>
      </c>
      <c r="G272" s="5">
        <v>43.639000000000003</v>
      </c>
      <c r="H272" s="5"/>
      <c r="I272" s="16">
        <f t="shared" si="39"/>
        <v>0</v>
      </c>
      <c r="J272" s="16">
        <f>(((E272*0.015)*12)/7)</f>
        <v>2.0159999999999996</v>
      </c>
      <c r="K272" s="16"/>
      <c r="L272" s="19">
        <f t="shared" si="35"/>
        <v>2.0159999999999996</v>
      </c>
      <c r="N272" s="13" t="s">
        <v>71</v>
      </c>
    </row>
    <row r="273" spans="1:14" x14ac:dyDescent="0.25">
      <c r="A273" s="1">
        <v>218</v>
      </c>
      <c r="B273" s="47">
        <v>45896</v>
      </c>
      <c r="C273" s="66">
        <v>43441396</v>
      </c>
      <c r="D273" s="66" t="s">
        <v>169</v>
      </c>
      <c r="E273" s="169">
        <v>118.2</v>
      </c>
      <c r="F273" s="5">
        <v>23.92</v>
      </c>
      <c r="G273" s="5">
        <v>25.643999999999998</v>
      </c>
      <c r="H273" s="5">
        <f>G273-F273</f>
        <v>1.7239999999999966</v>
      </c>
      <c r="I273" s="16">
        <f t="shared" si="39"/>
        <v>1.4822951999999971</v>
      </c>
      <c r="J273" s="16"/>
      <c r="K273" s="16">
        <f>E273/($F$32-$F$33)*$K$31</f>
        <v>0.26062191594466572</v>
      </c>
      <c r="L273" s="19">
        <f t="shared" si="35"/>
        <v>1.7429171159446628</v>
      </c>
      <c r="N273" s="13" t="s">
        <v>69</v>
      </c>
    </row>
    <row r="274" spans="1:14" ht="14.25" customHeight="1" x14ac:dyDescent="0.25">
      <c r="A274" s="1">
        <v>219</v>
      </c>
      <c r="B274" s="33"/>
      <c r="C274" s="66">
        <v>43441399</v>
      </c>
      <c r="D274" s="66" t="s">
        <v>54</v>
      </c>
      <c r="E274" s="169">
        <v>58.3</v>
      </c>
      <c r="F274" s="5">
        <v>40.354999999999997</v>
      </c>
      <c r="G274" s="5">
        <v>41.9</v>
      </c>
      <c r="H274" s="5"/>
      <c r="I274" s="16">
        <f t="shared" si="39"/>
        <v>0</v>
      </c>
      <c r="J274" s="16">
        <f>(((E274*0.015)*12)/7)</f>
        <v>1.4991428571428571</v>
      </c>
      <c r="K274" s="16"/>
      <c r="L274" s="19">
        <f t="shared" si="35"/>
        <v>1.4991428571428571</v>
      </c>
      <c r="N274" s="13" t="s">
        <v>71</v>
      </c>
    </row>
    <row r="275" spans="1:14" x14ac:dyDescent="0.25">
      <c r="A275" s="1">
        <v>220</v>
      </c>
      <c r="B275" s="47">
        <v>45566</v>
      </c>
      <c r="C275" s="10" t="s">
        <v>95</v>
      </c>
      <c r="D275" s="66" t="s">
        <v>54</v>
      </c>
      <c r="E275" s="169">
        <v>59.4</v>
      </c>
      <c r="F275" s="39">
        <v>1.8340000000000001</v>
      </c>
      <c r="G275" s="39">
        <v>1.786</v>
      </c>
      <c r="H275" s="5"/>
      <c r="I275" s="16">
        <f>G275-F275</f>
        <v>-4.8000000000000043E-2</v>
      </c>
      <c r="J275" s="16"/>
      <c r="K275" s="16">
        <f t="shared" ref="K275:K279" si="43">E275/($F$32-$F$33)*$K$31</f>
        <v>0.13097243491635485</v>
      </c>
      <c r="L275" s="19">
        <f t="shared" si="35"/>
        <v>8.2972434916354809E-2</v>
      </c>
      <c r="N275" s="13" t="s">
        <v>69</v>
      </c>
    </row>
    <row r="276" spans="1:14" x14ac:dyDescent="0.25">
      <c r="A276" s="1">
        <v>221</v>
      </c>
      <c r="B276" s="47">
        <v>45727</v>
      </c>
      <c r="C276" s="71">
        <v>43441397</v>
      </c>
      <c r="D276" s="71" t="s">
        <v>169</v>
      </c>
      <c r="E276" s="169">
        <v>46.9</v>
      </c>
      <c r="F276" s="5">
        <v>8.516</v>
      </c>
      <c r="G276" s="5">
        <v>8.6989999999999998</v>
      </c>
      <c r="H276" s="5">
        <f>G276-F276</f>
        <v>0.18299999999999983</v>
      </c>
      <c r="I276" s="16">
        <f>H276*0.8598</f>
        <v>0.15734339999999986</v>
      </c>
      <c r="J276" s="16"/>
      <c r="K276" s="16">
        <f t="shared" si="43"/>
        <v>0.10341089558210509</v>
      </c>
      <c r="L276" s="19">
        <f t="shared" si="35"/>
        <v>0.26075429558210494</v>
      </c>
      <c r="N276" s="13" t="s">
        <v>69</v>
      </c>
    </row>
    <row r="277" spans="1:14" x14ac:dyDescent="0.25">
      <c r="A277" s="1">
        <v>222</v>
      </c>
      <c r="B277" s="47">
        <v>45570</v>
      </c>
      <c r="C277" s="71">
        <v>43441402</v>
      </c>
      <c r="D277" s="71" t="s">
        <v>169</v>
      </c>
      <c r="E277" s="169">
        <v>77.7</v>
      </c>
      <c r="F277" s="5">
        <v>66.305000000000007</v>
      </c>
      <c r="G277" s="5">
        <v>67.891000000000005</v>
      </c>
      <c r="H277" s="5">
        <f>G277-F277</f>
        <v>1.5859999999999985</v>
      </c>
      <c r="I277" s="16">
        <f t="shared" ref="I277:I299" si="44">H277*0.8598</f>
        <v>1.3636427999999987</v>
      </c>
      <c r="J277" s="19"/>
      <c r="K277" s="16">
        <f t="shared" si="43"/>
        <v>0.17132252850169649</v>
      </c>
      <c r="L277" s="19">
        <f t="shared" si="35"/>
        <v>1.5349653285016953</v>
      </c>
      <c r="N277" s="13" t="s">
        <v>69</v>
      </c>
    </row>
    <row r="278" spans="1:14" x14ac:dyDescent="0.25">
      <c r="A278" s="1">
        <v>223</v>
      </c>
      <c r="B278" s="47">
        <v>45790</v>
      </c>
      <c r="C278" s="71">
        <v>43441209</v>
      </c>
      <c r="D278" s="279" t="s">
        <v>169</v>
      </c>
      <c r="E278" s="169">
        <v>118.6</v>
      </c>
      <c r="F278" s="5">
        <v>87.421999999999997</v>
      </c>
      <c r="G278" s="5">
        <v>88.644999999999996</v>
      </c>
      <c r="H278" s="5">
        <f>G278-F278</f>
        <v>1.222999999999999</v>
      </c>
      <c r="I278" s="16">
        <f t="shared" si="44"/>
        <v>1.0515353999999992</v>
      </c>
      <c r="J278" s="19"/>
      <c r="K278" s="16">
        <f t="shared" si="43"/>
        <v>0.26150388520336171</v>
      </c>
      <c r="L278" s="19">
        <f t="shared" si="35"/>
        <v>1.313039285203361</v>
      </c>
      <c r="N278" s="13" t="s">
        <v>69</v>
      </c>
    </row>
    <row r="279" spans="1:14" x14ac:dyDescent="0.25">
      <c r="A279" s="1">
        <v>224</v>
      </c>
      <c r="B279" s="47">
        <v>45940</v>
      </c>
      <c r="C279" s="71">
        <v>43441210</v>
      </c>
      <c r="D279" s="279" t="s">
        <v>169</v>
      </c>
      <c r="E279" s="169">
        <v>56.8</v>
      </c>
      <c r="F279" s="5">
        <v>14.374000000000001</v>
      </c>
      <c r="G279" s="5">
        <v>15.113</v>
      </c>
      <c r="H279" s="5">
        <f>G279-F279</f>
        <v>0.73899999999999899</v>
      </c>
      <c r="I279" s="16">
        <f t="shared" si="44"/>
        <v>0.63539219999999919</v>
      </c>
      <c r="J279" s="19"/>
      <c r="K279" s="16">
        <f t="shared" si="43"/>
        <v>0.12523963473483088</v>
      </c>
      <c r="L279" s="19">
        <f t="shared" si="35"/>
        <v>0.76063183473483009</v>
      </c>
      <c r="N279" s="13" t="s">
        <v>69</v>
      </c>
    </row>
    <row r="280" spans="1:14" x14ac:dyDescent="0.25">
      <c r="A280" s="1">
        <v>225</v>
      </c>
      <c r="B280" s="33"/>
      <c r="C280" s="71">
        <v>43441214</v>
      </c>
      <c r="D280" s="66" t="s">
        <v>54</v>
      </c>
      <c r="E280" s="169">
        <v>58.9</v>
      </c>
      <c r="F280" s="5">
        <v>43.328000000000003</v>
      </c>
      <c r="G280" s="5">
        <v>44.148000000000003</v>
      </c>
      <c r="H280" s="5"/>
      <c r="I280" s="16">
        <f t="shared" si="44"/>
        <v>0</v>
      </c>
      <c r="J280" s="16">
        <f t="shared" ref="J280:J281" si="45">(((E280*0.015)*12)/7)</f>
        <v>1.5145714285714287</v>
      </c>
      <c r="K280" s="16"/>
      <c r="L280" s="19">
        <f t="shared" si="35"/>
        <v>1.5145714285714287</v>
      </c>
      <c r="N280" s="13" t="s">
        <v>71</v>
      </c>
    </row>
    <row r="281" spans="1:14" x14ac:dyDescent="0.25">
      <c r="A281" s="1">
        <v>226</v>
      </c>
      <c r="B281" s="33"/>
      <c r="C281" s="71">
        <v>43441215</v>
      </c>
      <c r="D281" s="66" t="s">
        <v>54</v>
      </c>
      <c r="E281" s="169">
        <v>46.8</v>
      </c>
      <c r="F281" s="5">
        <v>27.681999999999999</v>
      </c>
      <c r="G281" s="5">
        <v>28.698</v>
      </c>
      <c r="H281" s="5"/>
      <c r="I281" s="16">
        <f t="shared" si="44"/>
        <v>0</v>
      </c>
      <c r="J281" s="16">
        <f t="shared" si="45"/>
        <v>1.2034285714285713</v>
      </c>
      <c r="K281" s="16"/>
      <c r="L281" s="19">
        <f t="shared" si="35"/>
        <v>1.2034285714285713</v>
      </c>
      <c r="N281" s="13" t="s">
        <v>71</v>
      </c>
    </row>
    <row r="282" spans="1:14" x14ac:dyDescent="0.25">
      <c r="A282" s="1">
        <v>227</v>
      </c>
      <c r="B282" s="47">
        <v>45927</v>
      </c>
      <c r="C282" s="71" t="s">
        <v>105</v>
      </c>
      <c r="D282" s="66" t="s">
        <v>54</v>
      </c>
      <c r="E282" s="169">
        <v>78.2</v>
      </c>
      <c r="F282" s="5">
        <v>5.5839999999999996</v>
      </c>
      <c r="G282" s="5">
        <v>6.5339999999999998</v>
      </c>
      <c r="H282" s="5"/>
      <c r="I282" s="16">
        <f>G282-F282</f>
        <v>0.95000000000000018</v>
      </c>
      <c r="J282" s="16"/>
      <c r="K282" s="16">
        <f>E282/($F$32-$F$33)*$K$31</f>
        <v>0.17242499007506651</v>
      </c>
      <c r="L282" s="19">
        <f t="shared" si="35"/>
        <v>1.1224249900750667</v>
      </c>
      <c r="N282" s="13" t="s">
        <v>69</v>
      </c>
    </row>
    <row r="283" spans="1:14" x14ac:dyDescent="0.25">
      <c r="A283" s="1">
        <v>228</v>
      </c>
      <c r="B283" s="33"/>
      <c r="C283" s="71">
        <v>43441212</v>
      </c>
      <c r="D283" s="66" t="s">
        <v>54</v>
      </c>
      <c r="E283" s="169">
        <v>117.5</v>
      </c>
      <c r="F283" s="5">
        <v>40.628</v>
      </c>
      <c r="G283" s="5">
        <v>41.082000000000001</v>
      </c>
      <c r="H283" s="5"/>
      <c r="I283" s="16">
        <f t="shared" si="44"/>
        <v>0</v>
      </c>
      <c r="J283" s="16">
        <f>(((E283*0.015)*12)/7)</f>
        <v>3.0214285714285714</v>
      </c>
      <c r="K283" s="16"/>
      <c r="L283" s="19">
        <f>I283+J283+K283</f>
        <v>3.0214285714285714</v>
      </c>
      <c r="N283" s="13" t="s">
        <v>71</v>
      </c>
    </row>
    <row r="284" spans="1:14" x14ac:dyDescent="0.25">
      <c r="A284" s="1">
        <v>229</v>
      </c>
      <c r="B284" s="47">
        <v>46279</v>
      </c>
      <c r="C284" s="71">
        <v>43441218</v>
      </c>
      <c r="D284" s="71" t="s">
        <v>169</v>
      </c>
      <c r="E284" s="169">
        <v>57.8</v>
      </c>
      <c r="F284" s="5">
        <v>26.048999999999999</v>
      </c>
      <c r="G284" s="5">
        <v>28.242999999999999</v>
      </c>
      <c r="H284" s="5">
        <f>G284-F284</f>
        <v>2.1939999999999991</v>
      </c>
      <c r="I284" s="16">
        <f>H284*0.8598</f>
        <v>1.8864011999999992</v>
      </c>
      <c r="J284" s="16"/>
      <c r="K284" s="16">
        <f t="shared" ref="K284:K285" si="46">E284/($F$32-$F$33)*$K$31</f>
        <v>0.12744455788157089</v>
      </c>
      <c r="L284" s="19">
        <f>I284+J284+K284</f>
        <v>2.0138457578815703</v>
      </c>
      <c r="N284" s="13" t="s">
        <v>69</v>
      </c>
    </row>
    <row r="285" spans="1:14" x14ac:dyDescent="0.25">
      <c r="A285" s="1">
        <v>230</v>
      </c>
      <c r="B285" s="47">
        <v>45914</v>
      </c>
      <c r="C285" s="71">
        <v>43441227</v>
      </c>
      <c r="D285" s="71" t="s">
        <v>169</v>
      </c>
      <c r="E285" s="169">
        <v>58.4</v>
      </c>
      <c r="F285" s="5">
        <v>27.353000000000002</v>
      </c>
      <c r="G285" s="5">
        <v>28.853000000000002</v>
      </c>
      <c r="H285" s="5">
        <f>G285-F285</f>
        <v>1.5</v>
      </c>
      <c r="I285" s="16">
        <f t="shared" si="44"/>
        <v>1.2897000000000001</v>
      </c>
      <c r="J285" s="19"/>
      <c r="K285" s="16">
        <f t="shared" si="46"/>
        <v>0.12876751176961487</v>
      </c>
      <c r="L285" s="19">
        <f t="shared" si="35"/>
        <v>1.4184675117696148</v>
      </c>
      <c r="N285" s="13" t="s">
        <v>69</v>
      </c>
    </row>
    <row r="286" spans="1:14" x14ac:dyDescent="0.25">
      <c r="A286" s="1">
        <v>231</v>
      </c>
      <c r="B286" s="33"/>
      <c r="C286" s="71">
        <v>43441216</v>
      </c>
      <c r="D286" s="66" t="s">
        <v>54</v>
      </c>
      <c r="E286" s="169">
        <v>47</v>
      </c>
      <c r="F286" s="5">
        <v>14.846</v>
      </c>
      <c r="G286" s="5">
        <v>15.462999999999999</v>
      </c>
      <c r="H286" s="5"/>
      <c r="I286" s="16">
        <f t="shared" si="44"/>
        <v>0</v>
      </c>
      <c r="J286" s="16">
        <f>(((E286*0.015)*12)/7)</f>
        <v>1.2085714285714284</v>
      </c>
      <c r="K286" s="16"/>
      <c r="L286" s="19">
        <f t="shared" si="35"/>
        <v>1.2085714285714284</v>
      </c>
      <c r="N286" s="13" t="s">
        <v>71</v>
      </c>
    </row>
    <row r="287" spans="1:14" x14ac:dyDescent="0.25">
      <c r="A287" s="1">
        <v>232</v>
      </c>
      <c r="B287" s="47">
        <v>45738</v>
      </c>
      <c r="C287" s="10" t="s">
        <v>104</v>
      </c>
      <c r="D287" s="66" t="s">
        <v>54</v>
      </c>
      <c r="E287" s="169">
        <v>78</v>
      </c>
      <c r="F287" s="39">
        <v>3.53</v>
      </c>
      <c r="G287" s="39">
        <v>3.9790000000000001</v>
      </c>
      <c r="H287" s="5"/>
      <c r="I287" s="16">
        <f>G287-F287</f>
        <v>0.44900000000000029</v>
      </c>
      <c r="J287" s="19"/>
      <c r="K287" s="16">
        <f t="shared" ref="K287:K288" si="47">E287/($F$32-$F$33)*$K$31</f>
        <v>0.17198400544571849</v>
      </c>
      <c r="L287" s="19">
        <f t="shared" si="35"/>
        <v>0.62098400544571875</v>
      </c>
      <c r="N287" s="13" t="s">
        <v>69</v>
      </c>
    </row>
    <row r="288" spans="1:14" x14ac:dyDescent="0.25">
      <c r="A288" s="1">
        <v>233</v>
      </c>
      <c r="B288" s="47">
        <v>45790</v>
      </c>
      <c r="C288" s="71">
        <v>43441226</v>
      </c>
      <c r="D288" s="71" t="s">
        <v>169</v>
      </c>
      <c r="E288" s="169">
        <v>117.7</v>
      </c>
      <c r="F288" s="5">
        <v>18.527999999999999</v>
      </c>
      <c r="G288" s="5">
        <v>19.795000000000002</v>
      </c>
      <c r="H288" s="5">
        <f>G288-F288</f>
        <v>1.267000000000003</v>
      </c>
      <c r="I288" s="16">
        <f>H288*0.8598</f>
        <v>1.0893666000000026</v>
      </c>
      <c r="J288" s="16"/>
      <c r="K288" s="16">
        <f t="shared" si="47"/>
        <v>0.25951945437129575</v>
      </c>
      <c r="L288" s="19">
        <f t="shared" si="35"/>
        <v>1.3488860543712984</v>
      </c>
      <c r="N288" s="13" t="s">
        <v>69</v>
      </c>
    </row>
    <row r="289" spans="1:14" x14ac:dyDescent="0.25">
      <c r="A289" s="1">
        <v>234</v>
      </c>
      <c r="B289" s="33"/>
      <c r="C289" s="71">
        <v>43441225</v>
      </c>
      <c r="D289" s="66" t="s">
        <v>54</v>
      </c>
      <c r="E289" s="169">
        <v>57.8</v>
      </c>
      <c r="F289" s="5">
        <v>24.885999999999999</v>
      </c>
      <c r="G289" s="5">
        <v>24.885999999999999</v>
      </c>
      <c r="H289" s="5"/>
      <c r="I289" s="16">
        <f t="shared" si="44"/>
        <v>0</v>
      </c>
      <c r="J289" s="16">
        <f>(((E289*0.015)*12)/7)</f>
        <v>1.486285714285714</v>
      </c>
      <c r="K289" s="16"/>
      <c r="L289" s="19">
        <f t="shared" si="35"/>
        <v>1.486285714285714</v>
      </c>
      <c r="N289" s="13" t="s">
        <v>71</v>
      </c>
    </row>
    <row r="290" spans="1:14" x14ac:dyDescent="0.25">
      <c r="A290" s="1">
        <v>235</v>
      </c>
      <c r="B290" s="47">
        <v>45748</v>
      </c>
      <c r="C290" s="71">
        <v>43441222</v>
      </c>
      <c r="D290" s="71" t="s">
        <v>169</v>
      </c>
      <c r="E290" s="169">
        <v>58.3</v>
      </c>
      <c r="F290" s="5">
        <v>5.23</v>
      </c>
      <c r="G290" s="5">
        <v>5.23</v>
      </c>
      <c r="H290" s="5">
        <f>G290-F290</f>
        <v>0</v>
      </c>
      <c r="I290" s="16">
        <f t="shared" si="44"/>
        <v>0</v>
      </c>
      <c r="J290" s="16"/>
      <c r="K290" s="16">
        <f>E290/($F$32-$F$33)*$K$31</f>
        <v>0.12854701945494085</v>
      </c>
      <c r="L290" s="19">
        <f t="shared" si="35"/>
        <v>0.12854701945494085</v>
      </c>
      <c r="N290" s="13" t="s">
        <v>69</v>
      </c>
    </row>
    <row r="291" spans="1:14" x14ac:dyDescent="0.25">
      <c r="A291" s="1">
        <v>236</v>
      </c>
      <c r="B291" s="33"/>
      <c r="C291" s="71">
        <v>43441223</v>
      </c>
      <c r="D291" s="66" t="s">
        <v>54</v>
      </c>
      <c r="E291" s="169">
        <v>47</v>
      </c>
      <c r="F291" s="5">
        <v>28.978999999999999</v>
      </c>
      <c r="G291" s="5">
        <v>28.978999999999999</v>
      </c>
      <c r="H291" s="5"/>
      <c r="I291" s="16">
        <f t="shared" si="44"/>
        <v>0</v>
      </c>
      <c r="J291" s="16">
        <f>(((E291*0.015)*12)/7)</f>
        <v>1.2085714285714284</v>
      </c>
      <c r="K291" s="16"/>
      <c r="L291" s="19">
        <f t="shared" si="35"/>
        <v>1.2085714285714284</v>
      </c>
      <c r="N291" s="13" t="s">
        <v>71</v>
      </c>
    </row>
    <row r="292" spans="1:14" x14ac:dyDescent="0.25">
      <c r="A292" s="1">
        <v>237</v>
      </c>
      <c r="B292" s="47">
        <v>45703</v>
      </c>
      <c r="C292" s="71">
        <v>43441224</v>
      </c>
      <c r="D292" s="71" t="s">
        <v>169</v>
      </c>
      <c r="E292" s="169">
        <v>77</v>
      </c>
      <c r="F292" s="5">
        <v>56.962000000000003</v>
      </c>
      <c r="G292" s="5">
        <v>59.02</v>
      </c>
      <c r="H292" s="5">
        <f>G292-F292</f>
        <v>2.0579999999999998</v>
      </c>
      <c r="I292" s="16">
        <f t="shared" si="44"/>
        <v>1.7694683999999998</v>
      </c>
      <c r="J292" s="19"/>
      <c r="K292" s="16">
        <f t="shared" ref="K292:K294" si="48">E292/($F$32-$F$33)*$K$31</f>
        <v>0.16977908229897853</v>
      </c>
      <c r="L292" s="19">
        <f t="shared" si="35"/>
        <v>1.9392474822989785</v>
      </c>
      <c r="N292" s="13" t="s">
        <v>69</v>
      </c>
    </row>
    <row r="293" spans="1:14" x14ac:dyDescent="0.25">
      <c r="A293" s="1">
        <v>238</v>
      </c>
      <c r="B293" s="47">
        <v>45957</v>
      </c>
      <c r="C293" s="71" t="s">
        <v>115</v>
      </c>
      <c r="D293" s="66" t="s">
        <v>54</v>
      </c>
      <c r="E293" s="169">
        <v>117.8</v>
      </c>
      <c r="F293" s="39">
        <v>3.8610000000000002</v>
      </c>
      <c r="G293" s="39">
        <v>4.351</v>
      </c>
      <c r="H293" s="5"/>
      <c r="I293" s="16">
        <f>G293-F293</f>
        <v>0.48999999999999977</v>
      </c>
      <c r="J293" s="16">
        <v>-3.8610000000000002</v>
      </c>
      <c r="K293" s="16">
        <f t="shared" si="48"/>
        <v>0.25973994668596972</v>
      </c>
      <c r="L293" s="19">
        <f t="shared" si="35"/>
        <v>-3.1112600533140307</v>
      </c>
      <c r="N293" s="13" t="s">
        <v>69</v>
      </c>
    </row>
    <row r="294" spans="1:14" x14ac:dyDescent="0.25">
      <c r="A294" s="1">
        <v>239</v>
      </c>
      <c r="B294" s="48">
        <v>45871</v>
      </c>
      <c r="C294" s="71">
        <v>43441220</v>
      </c>
      <c r="D294" s="71" t="s">
        <v>169</v>
      </c>
      <c r="E294" s="169">
        <v>58.1</v>
      </c>
      <c r="F294" s="5">
        <v>37.448</v>
      </c>
      <c r="G294" s="5">
        <v>38.402000000000001</v>
      </c>
      <c r="H294" s="5">
        <f>G294-F294</f>
        <v>0.95400000000000063</v>
      </c>
      <c r="I294" s="16">
        <f>H294*0.8598</f>
        <v>0.82024920000000057</v>
      </c>
      <c r="J294" s="19"/>
      <c r="K294" s="16">
        <f t="shared" si="48"/>
        <v>0.12810603482559288</v>
      </c>
      <c r="L294" s="19">
        <f t="shared" si="35"/>
        <v>0.94835523482559347</v>
      </c>
      <c r="N294" s="13" t="s">
        <v>69</v>
      </c>
    </row>
    <row r="295" spans="1:14" x14ac:dyDescent="0.25">
      <c r="A295" s="1">
        <v>240</v>
      </c>
      <c r="B295" s="33"/>
      <c r="C295" s="71">
        <v>20242417</v>
      </c>
      <c r="D295" s="66" t="s">
        <v>54</v>
      </c>
      <c r="E295" s="169">
        <v>58.7</v>
      </c>
      <c r="F295" s="5">
        <v>34.468000000000004</v>
      </c>
      <c r="G295" s="5">
        <v>35.576000000000001</v>
      </c>
      <c r="H295" s="5"/>
      <c r="I295" s="16">
        <f t="shared" si="44"/>
        <v>0</v>
      </c>
      <c r="J295" s="16">
        <f t="shared" ref="J295:J297" si="49">(((E295*0.015)*12)/7)</f>
        <v>1.5094285714285716</v>
      </c>
      <c r="K295" s="16"/>
      <c r="L295" s="19">
        <f t="shared" si="35"/>
        <v>1.5094285714285716</v>
      </c>
      <c r="N295" s="13" t="s">
        <v>71</v>
      </c>
    </row>
    <row r="296" spans="1:14" x14ac:dyDescent="0.25">
      <c r="A296" s="1">
        <v>241</v>
      </c>
      <c r="B296" s="33"/>
      <c r="C296" s="71">
        <v>20242445</v>
      </c>
      <c r="D296" s="66" t="s">
        <v>54</v>
      </c>
      <c r="E296" s="169">
        <v>46.5</v>
      </c>
      <c r="F296" s="5">
        <v>25.343</v>
      </c>
      <c r="G296" s="5">
        <v>25.9</v>
      </c>
      <c r="H296" s="5"/>
      <c r="I296" s="16">
        <f t="shared" si="44"/>
        <v>0</v>
      </c>
      <c r="J296" s="16">
        <f t="shared" si="49"/>
        <v>1.195714285714286</v>
      </c>
      <c r="K296" s="16"/>
      <c r="L296" s="19">
        <f t="shared" si="35"/>
        <v>1.195714285714286</v>
      </c>
      <c r="N296" s="13" t="s">
        <v>71</v>
      </c>
    </row>
    <row r="297" spans="1:14" x14ac:dyDescent="0.25">
      <c r="A297" s="1">
        <v>242</v>
      </c>
      <c r="B297" s="33"/>
      <c r="C297" s="71">
        <v>43441219</v>
      </c>
      <c r="D297" s="66" t="s">
        <v>54</v>
      </c>
      <c r="E297" s="176">
        <v>78.3</v>
      </c>
      <c r="F297" s="5">
        <v>70.807000000000002</v>
      </c>
      <c r="G297" s="5">
        <v>73.153000000000006</v>
      </c>
      <c r="H297" s="5"/>
      <c r="I297" s="16">
        <f t="shared" si="44"/>
        <v>0</v>
      </c>
      <c r="J297" s="16">
        <f t="shared" si="49"/>
        <v>2.0134285714285709</v>
      </c>
      <c r="K297" s="16"/>
      <c r="L297" s="19">
        <f t="shared" si="35"/>
        <v>2.0134285714285709</v>
      </c>
      <c r="N297" s="13" t="s">
        <v>71</v>
      </c>
    </row>
    <row r="298" spans="1:14" x14ac:dyDescent="0.25">
      <c r="A298" s="1">
        <v>243</v>
      </c>
      <c r="B298" s="47">
        <v>46248</v>
      </c>
      <c r="C298" s="71">
        <v>20242421</v>
      </c>
      <c r="D298" s="71" t="s">
        <v>169</v>
      </c>
      <c r="E298" s="176">
        <v>117.2</v>
      </c>
      <c r="F298" s="5">
        <v>61.823999999999998</v>
      </c>
      <c r="G298" s="5">
        <v>64.542000000000002</v>
      </c>
      <c r="H298" s="5">
        <f>G298-F298</f>
        <v>2.7180000000000035</v>
      </c>
      <c r="I298" s="16">
        <f>H298*0.8598</f>
        <v>2.336936400000003</v>
      </c>
      <c r="J298" s="16"/>
      <c r="K298" s="16">
        <f t="shared" ref="K298:K300" si="50">E298/($F$32-$F$33)*$K$31</f>
        <v>0.25841699279792579</v>
      </c>
      <c r="L298" s="19">
        <f t="shared" si="35"/>
        <v>2.5953533927979286</v>
      </c>
      <c r="N298" s="13" t="s">
        <v>69</v>
      </c>
    </row>
    <row r="299" spans="1:14" x14ac:dyDescent="0.25">
      <c r="A299" s="1">
        <v>244</v>
      </c>
      <c r="B299" s="47">
        <v>45803</v>
      </c>
      <c r="C299" s="71">
        <v>20242431</v>
      </c>
      <c r="D299" s="71" t="s">
        <v>169</v>
      </c>
      <c r="E299" s="176">
        <v>57.8</v>
      </c>
      <c r="F299" s="5">
        <v>14.475</v>
      </c>
      <c r="G299" s="5">
        <v>15.446999999999999</v>
      </c>
      <c r="H299" s="5">
        <f>G299-F299</f>
        <v>0.97199999999999953</v>
      </c>
      <c r="I299" s="16">
        <f t="shared" si="44"/>
        <v>0.83572559999999962</v>
      </c>
      <c r="J299" s="19"/>
      <c r="K299" s="16">
        <f t="shared" si="50"/>
        <v>0.12744455788157089</v>
      </c>
      <c r="L299" s="19">
        <f t="shared" si="35"/>
        <v>0.96317015788157057</v>
      </c>
      <c r="N299" s="13" t="s">
        <v>69</v>
      </c>
    </row>
    <row r="300" spans="1:14" x14ac:dyDescent="0.25">
      <c r="A300" s="1">
        <v>245</v>
      </c>
      <c r="B300" s="47">
        <v>45887</v>
      </c>
      <c r="C300" s="71">
        <v>20242432</v>
      </c>
      <c r="D300" s="71" t="s">
        <v>169</v>
      </c>
      <c r="E300" s="176">
        <v>58.2</v>
      </c>
      <c r="F300" s="5">
        <v>12.154</v>
      </c>
      <c r="G300" s="5">
        <v>12.606</v>
      </c>
      <c r="H300" s="5">
        <f>G300-F300</f>
        <v>0.45199999999999996</v>
      </c>
      <c r="I300" s="16">
        <f>H300*0.8598</f>
        <v>0.38862959999999996</v>
      </c>
      <c r="J300" s="19"/>
      <c r="K300" s="16">
        <f t="shared" si="50"/>
        <v>0.12832652714026688</v>
      </c>
      <c r="L300" s="19">
        <f t="shared" si="35"/>
        <v>0.51695612714026684</v>
      </c>
      <c r="N300" s="13" t="s">
        <v>69</v>
      </c>
    </row>
    <row r="301" spans="1:14" x14ac:dyDescent="0.25">
      <c r="A301" s="1">
        <v>246</v>
      </c>
      <c r="B301" s="33"/>
      <c r="C301" s="71">
        <v>20242451</v>
      </c>
      <c r="D301" s="66" t="s">
        <v>54</v>
      </c>
      <c r="E301" s="176">
        <v>45.8</v>
      </c>
      <c r="F301" s="5">
        <v>26.943999999999999</v>
      </c>
      <c r="G301" s="5">
        <v>28.350999999999999</v>
      </c>
      <c r="H301" s="5"/>
      <c r="I301" s="16">
        <f>H301*0.8598</f>
        <v>0</v>
      </c>
      <c r="J301" s="16">
        <f>(((E301*0.015)*12)/7)</f>
        <v>1.1777142857142857</v>
      </c>
      <c r="K301" s="16"/>
      <c r="L301" s="19">
        <f t="shared" si="35"/>
        <v>1.1777142857142857</v>
      </c>
      <c r="N301" s="13" t="s">
        <v>71</v>
      </c>
    </row>
    <row r="302" spans="1:14" x14ac:dyDescent="0.25">
      <c r="A302" s="42">
        <v>247</v>
      </c>
      <c r="B302" s="73">
        <v>45887</v>
      </c>
      <c r="C302" s="72">
        <v>20242442</v>
      </c>
      <c r="D302" s="72" t="s">
        <v>169</v>
      </c>
      <c r="E302" s="171">
        <v>77.599999999999994</v>
      </c>
      <c r="F302" s="27">
        <v>34.654000000000003</v>
      </c>
      <c r="G302" s="27">
        <v>35.213000000000001</v>
      </c>
      <c r="H302" s="27">
        <f>G302-F302</f>
        <v>0.5589999999999975</v>
      </c>
      <c r="I302" s="95">
        <f>H302*0.8598</f>
        <v>0.48062819999999784</v>
      </c>
      <c r="J302" s="96"/>
      <c r="K302" s="16">
        <f t="shared" ref="K302:K306" si="51">E302/($F$32-$F$33)*$K$31</f>
        <v>0.17110203618702249</v>
      </c>
      <c r="L302" s="16">
        <f t="shared" si="35"/>
        <v>0.65173023618702031</v>
      </c>
      <c r="N302" s="13" t="s">
        <v>69</v>
      </c>
    </row>
    <row r="303" spans="1:14" x14ac:dyDescent="0.25">
      <c r="A303" s="1" t="s">
        <v>48</v>
      </c>
      <c r="B303" s="47"/>
      <c r="C303" s="71"/>
      <c r="D303" s="71"/>
      <c r="E303" s="176">
        <v>79.900000000000006</v>
      </c>
      <c r="F303" s="5"/>
      <c r="G303" s="5"/>
      <c r="H303" s="5"/>
      <c r="I303" s="16"/>
      <c r="J303" s="16"/>
      <c r="K303" s="16">
        <f t="shared" si="51"/>
        <v>0.17617335942452447</v>
      </c>
      <c r="L303" s="16">
        <f t="shared" si="35"/>
        <v>0.17617335942452447</v>
      </c>
      <c r="N303" s="13"/>
    </row>
    <row r="304" spans="1:14" x14ac:dyDescent="0.25">
      <c r="A304" s="1" t="s">
        <v>49</v>
      </c>
      <c r="B304" s="47"/>
      <c r="C304" s="71"/>
      <c r="D304" s="71"/>
      <c r="E304" s="176">
        <v>106.1</v>
      </c>
      <c r="F304" s="5"/>
      <c r="G304" s="5"/>
      <c r="H304" s="5"/>
      <c r="I304" s="16"/>
      <c r="J304" s="16"/>
      <c r="K304" s="16">
        <f t="shared" si="51"/>
        <v>0.23394234586911195</v>
      </c>
      <c r="L304" s="16">
        <f t="shared" ref="L304:L306" si="52">I304+J304+K304</f>
        <v>0.23394234586911195</v>
      </c>
      <c r="N304" s="13"/>
    </row>
    <row r="305" spans="1:15" x14ac:dyDescent="0.25">
      <c r="A305" s="1" t="s">
        <v>50</v>
      </c>
      <c r="B305" s="47"/>
      <c r="C305" s="71"/>
      <c r="D305" s="71"/>
      <c r="E305" s="176">
        <v>137.9</v>
      </c>
      <c r="F305" s="5"/>
      <c r="G305" s="5"/>
      <c r="H305" s="5"/>
      <c r="I305" s="16"/>
      <c r="J305" s="16"/>
      <c r="K305" s="16">
        <f t="shared" si="51"/>
        <v>0.30405890193544333</v>
      </c>
      <c r="L305" s="16">
        <f t="shared" si="52"/>
        <v>0.30405890193544333</v>
      </c>
      <c r="N305" s="13"/>
    </row>
    <row r="306" spans="1:15" x14ac:dyDescent="0.25">
      <c r="A306" s="1" t="s">
        <v>51</v>
      </c>
      <c r="B306" s="47"/>
      <c r="C306" s="71"/>
      <c r="D306" s="71"/>
      <c r="E306" s="176">
        <v>56.4</v>
      </c>
      <c r="F306" s="5"/>
      <c r="G306" s="5"/>
      <c r="H306" s="5"/>
      <c r="I306" s="16"/>
      <c r="J306" s="16"/>
      <c r="K306" s="16">
        <f t="shared" si="51"/>
        <v>0.12435766547613492</v>
      </c>
      <c r="L306" s="16">
        <f t="shared" si="52"/>
        <v>0.12435766547613492</v>
      </c>
      <c r="N306" s="13"/>
    </row>
    <row r="307" spans="1:15" ht="15.75" thickBot="1" x14ac:dyDescent="0.3">
      <c r="A307" s="272" t="s">
        <v>81</v>
      </c>
      <c r="B307" s="273"/>
      <c r="C307" s="273"/>
      <c r="D307" s="187"/>
      <c r="E307" s="200">
        <f>SUM(E238:E306)</f>
        <v>5040.4000000000015</v>
      </c>
      <c r="F307" s="274" t="s">
        <v>82</v>
      </c>
      <c r="G307" s="274"/>
      <c r="H307" s="274"/>
      <c r="I307" s="201">
        <f>SUM(I238:I302)</f>
        <v>36.305754599999972</v>
      </c>
      <c r="J307" s="201">
        <f>SUM(J238:J302)</f>
        <v>32.728614437455072</v>
      </c>
      <c r="K307" s="201">
        <f>SUM(K238:K306)</f>
        <v>8.0486309625449515</v>
      </c>
      <c r="L307" s="202">
        <f>SUM(L238:L306)</f>
        <v>77.083000000000041</v>
      </c>
      <c r="N307" s="13"/>
    </row>
    <row r="308" spans="1:15" x14ac:dyDescent="0.25">
      <c r="A308" s="222" t="s">
        <v>3</v>
      </c>
      <c r="B308" s="222"/>
      <c r="C308" s="222"/>
      <c r="D308" s="183"/>
      <c r="E308" s="97">
        <f>SUM(E120,E180,E237,E307)</f>
        <v>18987.600000000006</v>
      </c>
      <c r="F308" s="65">
        <f>SUM(F42:F302)</f>
        <v>7091.5821999999989</v>
      </c>
      <c r="G308" s="65">
        <f>SUM(G42:G302)</f>
        <v>7292.5214000000042</v>
      </c>
      <c r="H308" s="6">
        <f>G308-F308</f>
        <v>200.93920000000526</v>
      </c>
      <c r="I308" s="65">
        <f>SUM(I120,I180,I237,I307)</f>
        <v>134.48117265999997</v>
      </c>
      <c r="J308" s="65">
        <f>SUM(J120,J180,J237,J307)</f>
        <v>94.408754831353747</v>
      </c>
      <c r="K308" s="65">
        <f>SUM(K120,K180,K237,K307)</f>
        <v>43.858072508646273</v>
      </c>
      <c r="L308" s="65">
        <f>SUM(L120,L180,L237,L307)</f>
        <v>272.74799999999993</v>
      </c>
      <c r="M308" s="20"/>
      <c r="N308" s="21"/>
    </row>
    <row r="309" spans="1:15" x14ac:dyDescent="0.25">
      <c r="I309" s="98"/>
      <c r="J309" s="98"/>
      <c r="M309" s="62"/>
      <c r="N309" s="12"/>
    </row>
    <row r="310" spans="1:15" x14ac:dyDescent="0.25">
      <c r="K310" s="2"/>
      <c r="L310" s="2"/>
      <c r="N310" s="62"/>
    </row>
    <row r="311" spans="1:15" ht="18.75" customHeight="1" x14ac:dyDescent="0.25">
      <c r="A311" s="207" t="s">
        <v>34</v>
      </c>
      <c r="B311" s="40" t="s">
        <v>61</v>
      </c>
      <c r="C311" s="211" t="s">
        <v>2</v>
      </c>
      <c r="D311" s="17" t="s">
        <v>164</v>
      </c>
      <c r="E311" s="17" t="s">
        <v>170</v>
      </c>
      <c r="F311" s="99" t="s">
        <v>53</v>
      </c>
      <c r="G311" s="4"/>
      <c r="H311" s="4"/>
      <c r="K311" s="2"/>
      <c r="L311" s="2"/>
      <c r="M311" s="184"/>
      <c r="O311" s="2"/>
    </row>
    <row r="312" spans="1:15" ht="18.75" customHeight="1" x14ac:dyDescent="0.25">
      <c r="A312" s="208"/>
      <c r="B312" s="100" t="s">
        <v>35</v>
      </c>
      <c r="C312" s="212"/>
      <c r="D312" s="25" t="s">
        <v>36</v>
      </c>
      <c r="E312" s="25" t="s">
        <v>36</v>
      </c>
      <c r="F312" s="32" t="s">
        <v>54</v>
      </c>
      <c r="K312" s="2"/>
      <c r="L312" s="2"/>
      <c r="M312" s="184"/>
      <c r="O312" s="2"/>
    </row>
    <row r="313" spans="1:15" x14ac:dyDescent="0.25">
      <c r="A313" s="101" t="s">
        <v>37</v>
      </c>
      <c r="B313" s="26">
        <v>43441481</v>
      </c>
      <c r="C313" s="26">
        <v>120.9</v>
      </c>
      <c r="D313" s="22">
        <v>65.213999999999999</v>
      </c>
      <c r="E313" s="22">
        <v>67.906999999999996</v>
      </c>
      <c r="F313" s="22">
        <f>(E313-D313)*0.8598</f>
        <v>2.3154413999999983</v>
      </c>
      <c r="K313" s="2"/>
      <c r="L313" s="2"/>
      <c r="M313" s="184"/>
      <c r="O313" s="2"/>
    </row>
    <row r="314" spans="1:15" x14ac:dyDescent="0.25">
      <c r="A314" s="101" t="s">
        <v>38</v>
      </c>
      <c r="B314" s="26">
        <v>2115009837</v>
      </c>
      <c r="C314" s="26">
        <v>68.5</v>
      </c>
      <c r="D314" s="22">
        <v>0</v>
      </c>
      <c r="E314" s="22">
        <v>1.444</v>
      </c>
      <c r="F314" s="22">
        <f t="shared" ref="F314:F327" si="53">(E314-D314)*0.8598</f>
        <v>1.2415512</v>
      </c>
      <c r="K314" s="2"/>
      <c r="L314" s="2"/>
      <c r="M314" s="184"/>
      <c r="O314" s="2"/>
    </row>
    <row r="315" spans="1:15" x14ac:dyDescent="0.25">
      <c r="A315" s="101" t="s">
        <v>39</v>
      </c>
      <c r="B315" s="26">
        <v>43441179</v>
      </c>
      <c r="C315" s="26">
        <v>106.9</v>
      </c>
      <c r="D315" s="22">
        <v>3.0000000000000001E-3</v>
      </c>
      <c r="E315" s="22">
        <v>1.32</v>
      </c>
      <c r="F315" s="22">
        <f t="shared" si="53"/>
        <v>1.1323566000000003</v>
      </c>
      <c r="K315" s="2"/>
      <c r="L315" s="2"/>
      <c r="M315" s="184"/>
      <c r="O315" s="2"/>
    </row>
    <row r="316" spans="1:15" x14ac:dyDescent="0.25">
      <c r="A316" s="101" t="s">
        <v>40</v>
      </c>
      <c r="B316" s="26">
        <v>43441177</v>
      </c>
      <c r="C316" s="26">
        <v>163.80000000000001</v>
      </c>
      <c r="D316" s="22">
        <v>6.0000000000000001E-3</v>
      </c>
      <c r="E316" s="22">
        <v>4.8129999999999997</v>
      </c>
      <c r="F316" s="22">
        <f t="shared" si="53"/>
        <v>4.1330586</v>
      </c>
      <c r="K316" s="2"/>
      <c r="L316" s="2"/>
      <c r="M316" s="184"/>
      <c r="O316" s="2"/>
    </row>
    <row r="317" spans="1:15" x14ac:dyDescent="0.25">
      <c r="A317" s="101" t="s">
        <v>41</v>
      </c>
      <c r="B317" s="26">
        <v>43441482</v>
      </c>
      <c r="C317" s="26">
        <v>109.8</v>
      </c>
      <c r="D317" s="22">
        <v>153.90100000000001</v>
      </c>
      <c r="E317" s="22">
        <v>157.05799999999999</v>
      </c>
      <c r="F317" s="22">
        <f t="shared" si="53"/>
        <v>2.7143885999999848</v>
      </c>
      <c r="H317" s="186"/>
      <c r="I317" s="186"/>
      <c r="K317" s="2"/>
      <c r="L317" s="2"/>
      <c r="M317" s="184"/>
      <c r="O317" s="2"/>
    </row>
    <row r="318" spans="1:15" x14ac:dyDescent="0.25">
      <c r="A318" s="101" t="s">
        <v>42</v>
      </c>
      <c r="B318" s="26">
        <v>43441483</v>
      </c>
      <c r="C318" s="26">
        <v>58.7</v>
      </c>
      <c r="D318" s="22">
        <v>196.2</v>
      </c>
      <c r="E318" s="22">
        <v>199.851</v>
      </c>
      <c r="F318" s="22">
        <f t="shared" si="53"/>
        <v>3.139129800000009</v>
      </c>
      <c r="K318" s="2"/>
      <c r="L318" s="2"/>
      <c r="M318" s="184"/>
      <c r="O318" s="2"/>
    </row>
    <row r="319" spans="1:15" x14ac:dyDescent="0.25">
      <c r="A319" s="101" t="s">
        <v>43</v>
      </c>
      <c r="B319" s="26">
        <v>41444210</v>
      </c>
      <c r="C319" s="26">
        <v>89.1</v>
      </c>
      <c r="D319" s="22">
        <v>172.696</v>
      </c>
      <c r="E319" s="22">
        <v>176.61600000000001</v>
      </c>
      <c r="F319" s="22">
        <f t="shared" si="53"/>
        <v>3.3704160000000138</v>
      </c>
      <c r="K319" s="2"/>
      <c r="L319" s="2"/>
      <c r="M319" s="184"/>
      <c r="O319" s="2"/>
    </row>
    <row r="320" spans="1:15" x14ac:dyDescent="0.25">
      <c r="A320" s="101" t="s">
        <v>44</v>
      </c>
      <c r="B320" s="25" t="s">
        <v>159</v>
      </c>
      <c r="C320" s="26">
        <v>56.5</v>
      </c>
      <c r="D320" s="22">
        <v>1.0469999999999999</v>
      </c>
      <c r="E320" s="22">
        <v>5.6420000000000003</v>
      </c>
      <c r="F320" s="22">
        <f t="shared" si="53"/>
        <v>3.9507810000000005</v>
      </c>
      <c r="K320" s="2"/>
      <c r="L320" s="2"/>
      <c r="M320" s="184"/>
      <c r="O320" s="2"/>
    </row>
    <row r="321" spans="1:15" x14ac:dyDescent="0.25">
      <c r="A321" s="101" t="s">
        <v>45</v>
      </c>
      <c r="B321" s="26">
        <v>20242426</v>
      </c>
      <c r="C321" s="26">
        <v>96</v>
      </c>
      <c r="D321" s="22">
        <v>140.32900000000001</v>
      </c>
      <c r="E321" s="22">
        <v>144.267</v>
      </c>
      <c r="F321" s="22">
        <f t="shared" si="53"/>
        <v>3.3858923999999897</v>
      </c>
      <c r="K321" s="2"/>
      <c r="L321" s="2"/>
      <c r="M321" s="184"/>
      <c r="O321" s="2"/>
    </row>
    <row r="322" spans="1:15" x14ac:dyDescent="0.25">
      <c r="A322" s="101" t="s">
        <v>46</v>
      </c>
      <c r="B322" s="26">
        <v>20242457</v>
      </c>
      <c r="C322" s="26">
        <v>103.3</v>
      </c>
      <c r="D322" s="22">
        <v>136.96100000000001</v>
      </c>
      <c r="E322" s="22">
        <v>140.53899999999999</v>
      </c>
      <c r="F322" s="22">
        <f t="shared" si="53"/>
        <v>3.0763643999999783</v>
      </c>
      <c r="K322" s="2"/>
      <c r="L322" s="2"/>
      <c r="M322" s="184"/>
      <c r="O322" s="2"/>
    </row>
    <row r="323" spans="1:15" x14ac:dyDescent="0.25">
      <c r="A323" s="101" t="s">
        <v>47</v>
      </c>
      <c r="B323" s="26">
        <v>1900446</v>
      </c>
      <c r="C323" s="26">
        <v>43.4</v>
      </c>
      <c r="D323" s="22">
        <v>1.089</v>
      </c>
      <c r="E323" s="22">
        <v>4.2850000000000001</v>
      </c>
      <c r="F323" s="22">
        <f t="shared" si="53"/>
        <v>2.7479208000000002</v>
      </c>
      <c r="K323" s="2"/>
      <c r="L323" s="2"/>
      <c r="M323" s="184"/>
      <c r="O323" s="2"/>
    </row>
    <row r="324" spans="1:15" x14ac:dyDescent="0.25">
      <c r="A324" s="101" t="s">
        <v>48</v>
      </c>
      <c r="B324" s="26">
        <v>20442453</v>
      </c>
      <c r="C324" s="26">
        <v>79.900000000000006</v>
      </c>
      <c r="D324" s="22">
        <v>118.86499999999999</v>
      </c>
      <c r="E324" s="22">
        <v>121.045</v>
      </c>
      <c r="F324" s="22">
        <f t="shared" si="53"/>
        <v>1.8743640000000059</v>
      </c>
      <c r="K324" s="2"/>
      <c r="L324" s="2"/>
      <c r="M324" s="184"/>
      <c r="O324" s="2"/>
    </row>
    <row r="325" spans="1:15" x14ac:dyDescent="0.25">
      <c r="A325" s="101" t="s">
        <v>49</v>
      </c>
      <c r="B325" s="26">
        <v>20242456</v>
      </c>
      <c r="C325" s="26">
        <v>106.1</v>
      </c>
      <c r="D325" s="22">
        <v>49.536000000000001</v>
      </c>
      <c r="E325" s="22">
        <v>49.536000000000001</v>
      </c>
      <c r="F325" s="22">
        <f t="shared" si="53"/>
        <v>0</v>
      </c>
      <c r="K325" s="2"/>
      <c r="L325" s="2"/>
      <c r="M325" s="184"/>
      <c r="O325" s="2"/>
    </row>
    <row r="326" spans="1:15" x14ac:dyDescent="0.25">
      <c r="A326" s="101" t="s">
        <v>50</v>
      </c>
      <c r="B326" s="26">
        <v>20242415</v>
      </c>
      <c r="C326" s="26">
        <v>137.9</v>
      </c>
      <c r="D326" s="22">
        <v>201.50899999999999</v>
      </c>
      <c r="E326" s="22">
        <v>201.50899999999999</v>
      </c>
      <c r="F326" s="22">
        <f t="shared" si="53"/>
        <v>0</v>
      </c>
      <c r="K326" s="2"/>
      <c r="L326" s="2"/>
      <c r="M326" s="184"/>
      <c r="O326" s="2"/>
    </row>
    <row r="327" spans="1:15" x14ac:dyDescent="0.25">
      <c r="A327" s="101" t="s">
        <v>51</v>
      </c>
      <c r="B327" s="26">
        <v>20242418</v>
      </c>
      <c r="C327" s="26">
        <v>56.4</v>
      </c>
      <c r="D327" s="22">
        <v>222.73</v>
      </c>
      <c r="E327" s="22">
        <v>222.73</v>
      </c>
      <c r="F327" s="22">
        <f t="shared" si="53"/>
        <v>0</v>
      </c>
      <c r="K327" s="2"/>
      <c r="L327" s="2"/>
      <c r="M327" s="184"/>
      <c r="O327" s="2"/>
    </row>
    <row r="328" spans="1:15" x14ac:dyDescent="0.25">
      <c r="C328" s="26">
        <f>SUM(C313:C327)</f>
        <v>1397.2</v>
      </c>
      <c r="D328" s="23">
        <f>SUM(D313:D327)</f>
        <v>1460.086</v>
      </c>
      <c r="E328" s="23">
        <f>SUM(E313:E327)</f>
        <v>1498.5620000000001</v>
      </c>
      <c r="F328" s="23">
        <f>SUM(F313:F327)</f>
        <v>33.081664799999977</v>
      </c>
      <c r="K328" s="2"/>
      <c r="L328" s="2"/>
      <c r="M328" s="184"/>
      <c r="O328" s="2"/>
    </row>
    <row r="329" spans="1:15" x14ac:dyDescent="0.25">
      <c r="A329" s="103"/>
      <c r="B329" s="103"/>
      <c r="C329" s="103"/>
      <c r="D329" s="103"/>
      <c r="E329" s="103"/>
      <c r="F329" s="103"/>
      <c r="G329" s="103"/>
      <c r="H329" s="103"/>
      <c r="K329" s="2"/>
      <c r="L329" s="2"/>
      <c r="N329" s="62"/>
    </row>
    <row r="330" spans="1:15" x14ac:dyDescent="0.25">
      <c r="A330" s="104" t="s">
        <v>14</v>
      </c>
      <c r="H330" s="103"/>
      <c r="K330" s="2"/>
      <c r="L330" s="2"/>
      <c r="N330" s="62"/>
    </row>
    <row r="331" spans="1:15" x14ac:dyDescent="0.25">
      <c r="A331" s="103"/>
      <c r="G331" s="103"/>
      <c r="K331" s="2"/>
      <c r="L331" s="2"/>
      <c r="M331" s="62"/>
      <c r="N331" s="62"/>
    </row>
    <row r="332" spans="1:15" x14ac:dyDescent="0.25">
      <c r="K332" s="2"/>
      <c r="L332" s="2"/>
      <c r="M332" s="62"/>
      <c r="N332" s="62"/>
    </row>
  </sheetData>
  <mergeCells count="79">
    <mergeCell ref="A237:C237"/>
    <mergeCell ref="F237:H237"/>
    <mergeCell ref="A307:C307"/>
    <mergeCell ref="F307:H307"/>
    <mergeCell ref="A308:C308"/>
    <mergeCell ref="A311:A312"/>
    <mergeCell ref="C311:C312"/>
    <mergeCell ref="G38:I38"/>
    <mergeCell ref="G39:I39"/>
    <mergeCell ref="A120:C120"/>
    <mergeCell ref="F120:H120"/>
    <mergeCell ref="A180:C180"/>
    <mergeCell ref="F180:H180"/>
    <mergeCell ref="B34:E34"/>
    <mergeCell ref="G34:I34"/>
    <mergeCell ref="B35:E35"/>
    <mergeCell ref="G35:I35"/>
    <mergeCell ref="G36:I36"/>
    <mergeCell ref="K36:K37"/>
    <mergeCell ref="G37:I37"/>
    <mergeCell ref="A29:F29"/>
    <mergeCell ref="G29:I29"/>
    <mergeCell ref="A30:A35"/>
    <mergeCell ref="B30:F31"/>
    <mergeCell ref="G30:I30"/>
    <mergeCell ref="G31:I31"/>
    <mergeCell ref="B32:E32"/>
    <mergeCell ref="G32:K32"/>
    <mergeCell ref="B33:E33"/>
    <mergeCell ref="G33:I33"/>
    <mergeCell ref="B26:E26"/>
    <mergeCell ref="G26:I26"/>
    <mergeCell ref="B27:E27"/>
    <mergeCell ref="G27:I27"/>
    <mergeCell ref="B28:E28"/>
    <mergeCell ref="G28:I28"/>
    <mergeCell ref="B21:E21"/>
    <mergeCell ref="G21:I21"/>
    <mergeCell ref="A22:F22"/>
    <mergeCell ref="G22:I22"/>
    <mergeCell ref="A23:A28"/>
    <mergeCell ref="B23:F24"/>
    <mergeCell ref="G23:I23"/>
    <mergeCell ref="G24:I24"/>
    <mergeCell ref="B25:E25"/>
    <mergeCell ref="G25:K25"/>
    <mergeCell ref="A16:A21"/>
    <mergeCell ref="B16:F17"/>
    <mergeCell ref="G16:I16"/>
    <mergeCell ref="G17:I17"/>
    <mergeCell ref="B18:E18"/>
    <mergeCell ref="G18:K18"/>
    <mergeCell ref="B19:E19"/>
    <mergeCell ref="G19:I19"/>
    <mergeCell ref="B20:E20"/>
    <mergeCell ref="G20:I20"/>
    <mergeCell ref="B13:E13"/>
    <mergeCell ref="G13:I13"/>
    <mergeCell ref="B14:E14"/>
    <mergeCell ref="G14:I14"/>
    <mergeCell ref="A15:F15"/>
    <mergeCell ref="G15:I15"/>
    <mergeCell ref="B9:F10"/>
    <mergeCell ref="G9:I9"/>
    <mergeCell ref="G10:I10"/>
    <mergeCell ref="B11:E11"/>
    <mergeCell ref="G11:K11"/>
    <mergeCell ref="B12:E12"/>
    <mergeCell ref="G12:I12"/>
    <mergeCell ref="A1:N1"/>
    <mergeCell ref="A3:N3"/>
    <mergeCell ref="A4:N4"/>
    <mergeCell ref="A6:K6"/>
    <mergeCell ref="N6:N10"/>
    <mergeCell ref="A7:F7"/>
    <mergeCell ref="G7:I7"/>
    <mergeCell ref="A8:F8"/>
    <mergeCell ref="G8:I8"/>
    <mergeCell ref="A9:A14"/>
  </mergeCells>
  <pageMargins left="0.78740157480314965" right="0" top="0" bottom="0" header="0.31496062992125984" footer="0.31496062992125984"/>
  <pageSetup paperSize="9" scale="1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Январь22</vt:lpstr>
      <vt:lpstr>Февраль22</vt:lpstr>
      <vt:lpstr>Март22</vt:lpstr>
      <vt:lpstr>Апрель22</vt:lpstr>
      <vt:lpstr>Сентябрь22</vt:lpstr>
      <vt:lpstr>Октябрь22</vt:lpstr>
      <vt:lpstr>Ноябрь22</vt:lpstr>
      <vt:lpstr>Декабрь22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2023-01-30T06:46:36Z</dcterms:modified>
</cp:coreProperties>
</file>